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01 01 100+401 01 20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X11" authorId="0">
      <text>
        <r>
          <rPr>
            <b/>
            <sz val="8"/>
            <color indexed="8"/>
            <rFont val="Tahoma"/>
            <family val="2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<sst xmlns="http://schemas.openxmlformats.org/spreadsheetml/2006/main" count="232" uniqueCount="109">
  <si>
    <t xml:space="preserve"> </t>
  </si>
  <si>
    <t>с нач. года</t>
  </si>
  <si>
    <t>с начала года</t>
  </si>
  <si>
    <t>план</t>
  </si>
  <si>
    <t>неисполненные назначения</t>
  </si>
  <si>
    <t>301  0102  0020300 121</t>
  </si>
  <si>
    <t>211</t>
  </si>
  <si>
    <t>213</t>
  </si>
  <si>
    <t>итого</t>
  </si>
  <si>
    <t>301 0104 0020400</t>
  </si>
  <si>
    <t>121/211</t>
  </si>
  <si>
    <t>Муницип</t>
  </si>
  <si>
    <t>Техперс</t>
  </si>
  <si>
    <t>121/213</t>
  </si>
  <si>
    <t>122/212</t>
  </si>
  <si>
    <t>242/221</t>
  </si>
  <si>
    <t>242/225</t>
  </si>
  <si>
    <t>242/226</t>
  </si>
  <si>
    <t>242/340</t>
  </si>
  <si>
    <t>244/221</t>
  </si>
  <si>
    <t>244/223</t>
  </si>
  <si>
    <t>тепл</t>
  </si>
  <si>
    <t>эле</t>
  </si>
  <si>
    <t>вода</t>
  </si>
  <si>
    <t>244/225</t>
  </si>
  <si>
    <t>244/226</t>
  </si>
  <si>
    <t>244/290</t>
  </si>
  <si>
    <t>244/340</t>
  </si>
  <si>
    <t>851/290</t>
  </si>
  <si>
    <t>852/290</t>
  </si>
  <si>
    <t>290</t>
  </si>
  <si>
    <t>226</t>
  </si>
  <si>
    <t>310</t>
  </si>
  <si>
    <t>0302 2026700 244</t>
  </si>
  <si>
    <t>301 0309 2180100 244</t>
  </si>
  <si>
    <t>225</t>
  </si>
  <si>
    <t>340</t>
  </si>
  <si>
    <t>827 0309 3029900 001</t>
  </si>
  <si>
    <t>301 0310 2479900 244</t>
  </si>
  <si>
    <t xml:space="preserve">303  0405  2670402  006  </t>
  </si>
  <si>
    <t>242</t>
  </si>
  <si>
    <t>244/242</t>
  </si>
  <si>
    <t xml:space="preserve">301 0405 2600410 </t>
  </si>
  <si>
    <t>244/310</t>
  </si>
  <si>
    <t xml:space="preserve">301 0408 3170100 </t>
  </si>
  <si>
    <t>301 0409 1020102</t>
  </si>
  <si>
    <t>301 0409 3150022</t>
  </si>
  <si>
    <t>301 0409 3150206</t>
  </si>
  <si>
    <t>132 0501 0980201 006</t>
  </si>
  <si>
    <t>132 0501 3500200 500</t>
  </si>
  <si>
    <t>132 0501 3500300 006</t>
  </si>
  <si>
    <t>241</t>
  </si>
  <si>
    <t xml:space="preserve">301 0502 3510500 </t>
  </si>
  <si>
    <t>132 0502 3400702 006</t>
  </si>
  <si>
    <t>132 0502 3510300 006</t>
  </si>
  <si>
    <t>132 0502 3500500 500</t>
  </si>
  <si>
    <t xml:space="preserve">301 0502 3510502 </t>
  </si>
  <si>
    <t xml:space="preserve">132 0503 6000200 500 </t>
  </si>
  <si>
    <t xml:space="preserve">301 0503 6000400 </t>
  </si>
  <si>
    <t xml:space="preserve">301 0503 6000500 </t>
  </si>
  <si>
    <t xml:space="preserve">301 0707 4310100 </t>
  </si>
  <si>
    <t xml:space="preserve">301 0801 4409900 </t>
  </si>
  <si>
    <t>244/222</t>
  </si>
  <si>
    <t>807 0801 4429900 001</t>
  </si>
  <si>
    <t xml:space="preserve">301 1101 5129700 </t>
  </si>
  <si>
    <t xml:space="preserve">301 1001 4910100 </t>
  </si>
  <si>
    <t>321/263</t>
  </si>
  <si>
    <t>303 1003 5140100 005</t>
  </si>
  <si>
    <t>303 1104 5210600 017</t>
  </si>
  <si>
    <t>251</t>
  </si>
  <si>
    <t>всего</t>
  </si>
  <si>
    <t>Исполнитель</t>
  </si>
  <si>
    <t>С.А. Щербинина</t>
  </si>
  <si>
    <t xml:space="preserve">301 0503 6000100 </t>
  </si>
  <si>
    <t>301 0503 0029903</t>
  </si>
  <si>
    <t>810/241</t>
  </si>
  <si>
    <t>242/310</t>
  </si>
  <si>
    <t>351 05050020400</t>
  </si>
  <si>
    <t>540/251</t>
  </si>
  <si>
    <t xml:space="preserve">301 0111 0700500 </t>
  </si>
  <si>
    <t>870/290</t>
  </si>
  <si>
    <t>301 0203 9995118</t>
  </si>
  <si>
    <t>122/290</t>
  </si>
  <si>
    <t>301 0409 08481Д3</t>
  </si>
  <si>
    <t>301 0401 1312100</t>
  </si>
  <si>
    <t>301 0113 0020400 540</t>
  </si>
  <si>
    <t>301 0203 0020400</t>
  </si>
  <si>
    <t>2667,05</t>
  </si>
  <si>
    <t>40242,56</t>
  </si>
  <si>
    <t>1810,9 норматив</t>
  </si>
  <si>
    <t xml:space="preserve">301 0502 0175018 </t>
  </si>
  <si>
    <t>522/251</t>
  </si>
  <si>
    <t xml:space="preserve">301 0405 7950001  </t>
  </si>
  <si>
    <t xml:space="preserve">301 0502 7950002 </t>
  </si>
  <si>
    <t>103880</t>
  </si>
  <si>
    <t>6752</t>
  </si>
  <si>
    <t>414/226</t>
  </si>
  <si>
    <t>Расходы Администрации Преградненского СП за ДЕКАБРЬ2014 года</t>
  </si>
  <si>
    <t>Декабрь</t>
  </si>
  <si>
    <t>413081,50</t>
  </si>
  <si>
    <t>414/310</t>
  </si>
  <si>
    <t xml:space="preserve">301 1003 5141100 </t>
  </si>
  <si>
    <t>321/340</t>
  </si>
  <si>
    <t>2373,17</t>
  </si>
  <si>
    <t>6800</t>
  </si>
  <si>
    <t>120000</t>
  </si>
  <si>
    <t>27903,01</t>
  </si>
  <si>
    <t>4364</t>
  </si>
  <si>
    <t>10157,63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</si>
</sst>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9">
    <font>
      <sz val="8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8"/>
      <color indexed="8"/>
      <name val="Tahoma"/>
      <family val="2"/>
    </font>
    <font>
      <sz val="11"/>
      <color indexed="10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Arial Cyr"/>
      <family val="2"/>
    </font>
    <font>
      <b/>
      <sz val="14"/>
      <color indexed="6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Arial Cyr"/>
      <family val="2"/>
    </font>
    <font>
      <b/>
      <sz val="14"/>
      <color rgb="FFC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1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 horizontal="center"/>
    </xf>
    <xf numFmtId="49" fontId="48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1"/>
  <sheetViews>
    <sheetView tabSelected="1" zoomScalePageLayoutView="0" workbookViewId="0" topLeftCell="A1">
      <pane xSplit="2" ySplit="6" topLeftCell="Y101" activePane="bottomRight" state="frozen"/>
      <selection pane="topLeft" activeCell="A1" sqref="A1"/>
      <selection pane="topRight" activeCell="C1" sqref="C1"/>
      <selection pane="bottomLeft" activeCell="A173" sqref="A173"/>
      <selection pane="bottomRight" activeCell="AG182" sqref="AG182"/>
    </sheetView>
  </sheetViews>
  <sheetFormatPr defaultColWidth="9.140625" defaultRowHeight="12"/>
  <cols>
    <col min="1" max="1" width="16.00390625" style="1" customWidth="1"/>
    <col min="2" max="2" width="21.140625" style="1" customWidth="1"/>
    <col min="3" max="3" width="21.28125" style="2" customWidth="1"/>
    <col min="4" max="4" width="20.8515625" style="2" customWidth="1"/>
    <col min="5" max="5" width="20.7109375" style="2" customWidth="1"/>
    <col min="6" max="6" width="18.140625" style="2" customWidth="1"/>
    <col min="7" max="7" width="18.7109375" style="2" customWidth="1"/>
    <col min="8" max="8" width="19.00390625" style="2" customWidth="1"/>
    <col min="9" max="9" width="19.421875" style="2" customWidth="1"/>
    <col min="10" max="10" width="21.8515625" style="2" customWidth="1"/>
    <col min="11" max="11" width="17.140625" style="2" customWidth="1"/>
    <col min="12" max="12" width="16.28125" style="2" customWidth="1"/>
    <col min="13" max="24" width="0" style="2" hidden="1" customWidth="1"/>
    <col min="25" max="25" width="18.140625" style="2" customWidth="1"/>
    <col min="26" max="26" width="17.421875" style="2" customWidth="1"/>
    <col min="27" max="27" width="20.140625" style="2" customWidth="1"/>
    <col min="28" max="28" width="18.7109375" style="2" customWidth="1"/>
    <col min="29" max="29" width="19.140625" style="2" customWidth="1"/>
    <col min="30" max="30" width="15.8515625" style="2" customWidth="1"/>
    <col min="31" max="31" width="2.7109375" style="2" customWidth="1"/>
    <col min="32" max="32" width="21.28125" style="3" customWidth="1"/>
    <col min="33" max="33" width="20.7109375" style="3" customWidth="1"/>
    <col min="34" max="34" width="20.7109375" style="0" customWidth="1"/>
    <col min="35" max="35" width="22.00390625" style="4" customWidth="1"/>
    <col min="36" max="36" width="18.28125" style="0" customWidth="1"/>
  </cols>
  <sheetData>
    <row r="1" spans="1:35" ht="18">
      <c r="A1" s="88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6"/>
      <c r="AH1" s="7"/>
      <c r="AI1" s="8"/>
    </row>
    <row r="2" spans="1:35" ht="18">
      <c r="A2" s="9"/>
      <c r="B2" s="9"/>
      <c r="C2" s="10"/>
      <c r="D2" s="10"/>
      <c r="E2" s="10"/>
      <c r="F2" s="10"/>
      <c r="G2" s="10" t="s">
        <v>0</v>
      </c>
      <c r="H2" s="10" t="s">
        <v>0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  <c r="AH2" s="7">
        <v>1710.5</v>
      </c>
      <c r="AI2" s="8"/>
    </row>
    <row r="3" spans="1:35" ht="18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5"/>
      <c r="AH3" s="7" t="s">
        <v>89</v>
      </c>
      <c r="AI3" s="8"/>
    </row>
    <row r="4" spans="1:35" ht="18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12"/>
      <c r="AH4" s="13"/>
      <c r="AI4" s="14"/>
    </row>
    <row r="5" spans="1:35" s="20" customFormat="1" ht="36" customHeight="1">
      <c r="A5" s="15"/>
      <c r="B5" s="15" t="s">
        <v>1</v>
      </c>
      <c r="C5" s="16">
        <v>41976</v>
      </c>
      <c r="D5" s="16">
        <v>41977</v>
      </c>
      <c r="E5" s="16">
        <v>41978</v>
      </c>
      <c r="F5" s="16">
        <v>41981</v>
      </c>
      <c r="G5" s="16">
        <v>41982</v>
      </c>
      <c r="H5" s="16">
        <v>41988</v>
      </c>
      <c r="I5" s="16">
        <v>41989</v>
      </c>
      <c r="J5" s="16">
        <v>41990</v>
      </c>
      <c r="K5" s="16">
        <v>41991</v>
      </c>
      <c r="L5" s="16">
        <v>41992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>
        <v>41995</v>
      </c>
      <c r="Z5" s="16">
        <v>41997</v>
      </c>
      <c r="AA5" s="16">
        <v>41998</v>
      </c>
      <c r="AB5" s="16">
        <v>41999</v>
      </c>
      <c r="AC5" s="16">
        <v>42367</v>
      </c>
      <c r="AD5" s="16">
        <v>42368</v>
      </c>
      <c r="AE5" s="17"/>
      <c r="AF5" s="18" t="s">
        <v>98</v>
      </c>
      <c r="AG5" s="18" t="s">
        <v>2</v>
      </c>
      <c r="AH5" s="18" t="s">
        <v>3</v>
      </c>
      <c r="AI5" s="19" t="s">
        <v>4</v>
      </c>
    </row>
    <row r="6" spans="1:35" s="20" customFormat="1" ht="32.25" customHeight="1">
      <c r="A6" s="82" t="s">
        <v>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21"/>
      <c r="AH6" s="18">
        <v>2014</v>
      </c>
      <c r="AI6" s="22"/>
    </row>
    <row r="7" spans="1:35" s="30" customFormat="1" ht="21.75" customHeight="1">
      <c r="A7" s="23" t="s">
        <v>6</v>
      </c>
      <c r="B7" s="15" t="s">
        <v>99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25"/>
      <c r="U7" s="24"/>
      <c r="V7" s="24"/>
      <c r="W7" s="25"/>
      <c r="X7" s="24"/>
      <c r="Y7" s="24"/>
      <c r="Z7" s="25"/>
      <c r="AA7" s="25"/>
      <c r="AB7" s="25"/>
      <c r="AC7" s="25"/>
      <c r="AD7" s="25"/>
      <c r="AE7" s="26"/>
      <c r="AF7" s="27">
        <f>SUM(C7:AD7)+AE7</f>
        <v>0</v>
      </c>
      <c r="AG7" s="27">
        <f>B7+AF7</f>
        <v>413081.5</v>
      </c>
      <c r="AH7" s="28">
        <v>413082</v>
      </c>
      <c r="AI7" s="29">
        <f>SUM(AH7-AG7)</f>
        <v>0.5</v>
      </c>
    </row>
    <row r="8" spans="1:35" s="30" customFormat="1" ht="20.25" customHeight="1">
      <c r="A8" s="23" t="s">
        <v>7</v>
      </c>
      <c r="B8" s="29">
        <v>123542.62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5"/>
      <c r="U8" s="24"/>
      <c r="V8" s="24"/>
      <c r="W8" s="25"/>
      <c r="X8" s="24"/>
      <c r="Y8" s="24"/>
      <c r="Z8" s="25"/>
      <c r="AA8" s="25"/>
      <c r="AB8" s="25"/>
      <c r="AC8" s="25"/>
      <c r="AD8" s="25"/>
      <c r="AE8" s="26"/>
      <c r="AF8" s="27">
        <f>SUM(C8:AD8)+AE8</f>
        <v>0</v>
      </c>
      <c r="AG8" s="27">
        <f>B8+AF8</f>
        <v>123542.62</v>
      </c>
      <c r="AH8" s="28">
        <v>123543</v>
      </c>
      <c r="AI8" s="29">
        <f>SUM(AH8-AG8)</f>
        <v>0.3800000000046566</v>
      </c>
    </row>
    <row r="9" spans="1:35" s="30" customFormat="1" ht="25.5" customHeight="1">
      <c r="A9" s="15" t="s">
        <v>8</v>
      </c>
      <c r="B9" s="31">
        <f aca="true" t="shared" si="0" ref="B9:AA9">B7+B8</f>
        <v>536624.12</v>
      </c>
      <c r="C9" s="31">
        <f>SUM(C7:C8)</f>
        <v>0</v>
      </c>
      <c r="D9" s="31">
        <f>SUM(D7:D8)</f>
        <v>0</v>
      </c>
      <c r="E9" s="31">
        <f aca="true" t="shared" si="1" ref="E9:J9">E7+E8</f>
        <v>0</v>
      </c>
      <c r="F9" s="31">
        <f t="shared" si="1"/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  <c r="S9" s="31">
        <f t="shared" si="0"/>
        <v>0</v>
      </c>
      <c r="T9" s="31">
        <f t="shared" si="0"/>
        <v>0</v>
      </c>
      <c r="U9" s="31">
        <f t="shared" si="0"/>
        <v>0</v>
      </c>
      <c r="V9" s="31">
        <f t="shared" si="0"/>
        <v>0</v>
      </c>
      <c r="W9" s="31">
        <f t="shared" si="0"/>
        <v>0</v>
      </c>
      <c r="X9" s="31">
        <f t="shared" si="0"/>
        <v>0</v>
      </c>
      <c r="Y9" s="31">
        <f t="shared" si="0"/>
        <v>0</v>
      </c>
      <c r="Z9" s="32">
        <f t="shared" si="0"/>
        <v>0</v>
      </c>
      <c r="AA9" s="31">
        <f t="shared" si="0"/>
        <v>0</v>
      </c>
      <c r="AB9" s="32"/>
      <c r="AC9" s="32">
        <f>AC7+AC8</f>
        <v>0</v>
      </c>
      <c r="AD9" s="32">
        <f>SUM(AD7:AD8)</f>
        <v>0</v>
      </c>
      <c r="AE9" s="33">
        <f>AE7+AE8</f>
        <v>0</v>
      </c>
      <c r="AF9" s="27">
        <f>AF7+AF8</f>
        <v>0</v>
      </c>
      <c r="AG9" s="27">
        <f>AG7+AG8</f>
        <v>536624.12</v>
      </c>
      <c r="AH9" s="27">
        <f>AH7+AH8</f>
        <v>536625</v>
      </c>
      <c r="AI9" s="29">
        <f>AH9-AG9</f>
        <v>0.8800000000046566</v>
      </c>
    </row>
    <row r="10" spans="1:35" s="30" customFormat="1" ht="19.5" customHeight="1">
      <c r="A10" s="82" t="s">
        <v>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21"/>
      <c r="AH10" s="28"/>
      <c r="AI10" s="22"/>
    </row>
    <row r="11" spans="1:35" s="30" customFormat="1" ht="20.25" customHeight="1">
      <c r="A11" s="23" t="s">
        <v>10</v>
      </c>
      <c r="B11" s="29">
        <f aca="true" t="shared" si="2" ref="B11:L11">B12+B13</f>
        <v>1256632.6700000002</v>
      </c>
      <c r="C11" s="29">
        <f t="shared" si="2"/>
        <v>0</v>
      </c>
      <c r="D11" s="29">
        <f t="shared" si="2"/>
        <v>88952.2</v>
      </c>
      <c r="E11" s="29">
        <f t="shared" si="2"/>
        <v>17470</v>
      </c>
      <c r="F11" s="29">
        <f t="shared" si="2"/>
        <v>0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>K12+K13</f>
        <v>26465</v>
      </c>
      <c r="L11" s="29">
        <f t="shared" si="2"/>
        <v>0</v>
      </c>
      <c r="M11" s="24"/>
      <c r="N11" s="24"/>
      <c r="O11" s="24"/>
      <c r="P11" s="24"/>
      <c r="Q11" s="24"/>
      <c r="R11" s="24"/>
      <c r="S11" s="24"/>
      <c r="T11" s="25"/>
      <c r="U11" s="24"/>
      <c r="V11" s="25"/>
      <c r="W11" s="25"/>
      <c r="X11" s="24"/>
      <c r="Y11" s="29">
        <f aca="true" t="shared" si="3" ref="Y11:AF11">Y12+Y13</f>
        <v>0</v>
      </c>
      <c r="Z11" s="29">
        <f t="shared" si="3"/>
        <v>0</v>
      </c>
      <c r="AA11" s="29">
        <f t="shared" si="3"/>
        <v>182899.94999999998</v>
      </c>
      <c r="AB11" s="29">
        <f>AB12+AB13</f>
        <v>29978</v>
      </c>
      <c r="AC11" s="29">
        <f>AC12+AC13</f>
        <v>0</v>
      </c>
      <c r="AD11" s="29">
        <f t="shared" si="3"/>
        <v>0</v>
      </c>
      <c r="AE11" s="29">
        <f t="shared" si="3"/>
        <v>0</v>
      </c>
      <c r="AF11" s="29">
        <f t="shared" si="3"/>
        <v>345765.14999999997</v>
      </c>
      <c r="AG11" s="27">
        <f aca="true" t="shared" si="4" ref="AG11:AG25">B11+AF11</f>
        <v>1602397.82</v>
      </c>
      <c r="AH11" s="78">
        <f>AH12+AH13</f>
        <v>1539118</v>
      </c>
      <c r="AI11" s="29">
        <f aca="true" t="shared" si="5" ref="AI11:AI25">SUM(AH11-AG11)</f>
        <v>-63279.820000000065</v>
      </c>
    </row>
    <row r="12" spans="1:35" s="30" customFormat="1" ht="20.25" customHeight="1">
      <c r="A12" s="23" t="s">
        <v>11</v>
      </c>
      <c r="B12" s="29">
        <v>1066177.33</v>
      </c>
      <c r="C12" s="24"/>
      <c r="D12" s="24">
        <v>76736.4</v>
      </c>
      <c r="E12" s="24">
        <v>15202</v>
      </c>
      <c r="F12" s="24"/>
      <c r="G12" s="24"/>
      <c r="H12" s="24"/>
      <c r="I12" s="24"/>
      <c r="J12" s="24"/>
      <c r="K12" s="24">
        <v>23503</v>
      </c>
      <c r="L12" s="24">
        <v>2879.41</v>
      </c>
      <c r="M12" s="24"/>
      <c r="N12" s="24"/>
      <c r="O12" s="24"/>
      <c r="P12" s="24"/>
      <c r="Q12" s="24"/>
      <c r="R12" s="24"/>
      <c r="S12" s="24"/>
      <c r="T12" s="25"/>
      <c r="U12" s="24"/>
      <c r="V12" s="25"/>
      <c r="W12" s="25"/>
      <c r="X12" s="24"/>
      <c r="Y12" s="24"/>
      <c r="Z12" s="25"/>
      <c r="AA12" s="25">
        <v>166198.15</v>
      </c>
      <c r="AB12" s="25">
        <v>27196</v>
      </c>
      <c r="AC12" s="25"/>
      <c r="AD12" s="25"/>
      <c r="AE12" s="26"/>
      <c r="AF12" s="27">
        <f>SUM(C12:AE12)</f>
        <v>311714.95999999996</v>
      </c>
      <c r="AG12" s="34">
        <f t="shared" si="4"/>
        <v>1377892.29</v>
      </c>
      <c r="AH12" s="28">
        <f>1810900-488000</f>
        <v>1322900</v>
      </c>
      <c r="AI12" s="29">
        <f t="shared" si="5"/>
        <v>-54992.29000000004</v>
      </c>
    </row>
    <row r="13" spans="1:35" s="30" customFormat="1" ht="20.25" customHeight="1">
      <c r="A13" s="23" t="s">
        <v>12</v>
      </c>
      <c r="B13" s="29">
        <v>190455.34</v>
      </c>
      <c r="C13" s="24"/>
      <c r="D13" s="24">
        <v>12215.8</v>
      </c>
      <c r="E13" s="24">
        <v>2268</v>
      </c>
      <c r="F13" s="24"/>
      <c r="G13" s="24"/>
      <c r="H13" s="24"/>
      <c r="I13" s="24"/>
      <c r="J13" s="24"/>
      <c r="K13" s="24">
        <v>2962</v>
      </c>
      <c r="L13" s="24">
        <v>-2879.41</v>
      </c>
      <c r="M13" s="24"/>
      <c r="N13" s="24"/>
      <c r="O13" s="24"/>
      <c r="P13" s="24"/>
      <c r="Q13" s="24"/>
      <c r="R13" s="24"/>
      <c r="S13" s="24"/>
      <c r="T13" s="25"/>
      <c r="U13" s="24"/>
      <c r="V13" s="25"/>
      <c r="W13" s="25"/>
      <c r="X13" s="24"/>
      <c r="Y13" s="24"/>
      <c r="Z13" s="25"/>
      <c r="AA13" s="25">
        <v>16701.8</v>
      </c>
      <c r="AB13" s="25">
        <v>2782</v>
      </c>
      <c r="AC13" s="25"/>
      <c r="AD13" s="25"/>
      <c r="AE13" s="26"/>
      <c r="AF13" s="27">
        <f>SUM(C13:AE13)</f>
        <v>34050.19</v>
      </c>
      <c r="AG13" s="34">
        <f t="shared" si="4"/>
        <v>224505.53</v>
      </c>
      <c r="AH13" s="28">
        <f>141300+74918</f>
        <v>216218</v>
      </c>
      <c r="AI13" s="29">
        <f t="shared" si="5"/>
        <v>-8287.529999999999</v>
      </c>
    </row>
    <row r="14" spans="1:35" s="39" customFormat="1" ht="21.75" customHeight="1">
      <c r="A14" s="35" t="s">
        <v>13</v>
      </c>
      <c r="B14" s="36">
        <f aca="true" t="shared" si="6" ref="B14:L14">B15+B16</f>
        <v>350151.64</v>
      </c>
      <c r="C14" s="36">
        <f t="shared" si="6"/>
        <v>0</v>
      </c>
      <c r="D14" s="36">
        <f t="shared" si="6"/>
        <v>0</v>
      </c>
      <c r="E14" s="36">
        <f t="shared" si="6"/>
        <v>41597.16</v>
      </c>
      <c r="F14" s="36">
        <f t="shared" si="6"/>
        <v>0</v>
      </c>
      <c r="G14" s="36">
        <f t="shared" si="6"/>
        <v>0</v>
      </c>
      <c r="H14" s="36">
        <f t="shared" si="6"/>
        <v>0</v>
      </c>
      <c r="I14" s="36">
        <f t="shared" si="6"/>
        <v>0</v>
      </c>
      <c r="J14" s="36">
        <f t="shared" si="6"/>
        <v>0</v>
      </c>
      <c r="K14" s="36">
        <f t="shared" si="6"/>
        <v>0</v>
      </c>
      <c r="L14" s="36">
        <f t="shared" si="6"/>
        <v>0</v>
      </c>
      <c r="M14" s="37"/>
      <c r="N14" s="37"/>
      <c r="O14" s="37"/>
      <c r="P14" s="37"/>
      <c r="Q14" s="37"/>
      <c r="R14" s="37"/>
      <c r="S14" s="37"/>
      <c r="T14" s="38"/>
      <c r="U14" s="37"/>
      <c r="V14" s="38"/>
      <c r="W14" s="38"/>
      <c r="X14" s="37"/>
      <c r="Y14" s="36">
        <f aca="true" t="shared" si="7" ref="Y14:AF14">Y15+Y16</f>
        <v>0</v>
      </c>
      <c r="Z14" s="36">
        <f t="shared" si="7"/>
        <v>0</v>
      </c>
      <c r="AA14" s="36">
        <f t="shared" si="7"/>
        <v>0</v>
      </c>
      <c r="AB14" s="36">
        <f>AB15+AB16</f>
        <v>71651.76</v>
      </c>
      <c r="AC14" s="36">
        <f>AC15+AC16</f>
        <v>0</v>
      </c>
      <c r="AD14" s="36">
        <f t="shared" si="7"/>
        <v>0</v>
      </c>
      <c r="AE14" s="36">
        <f t="shared" si="7"/>
        <v>0</v>
      </c>
      <c r="AF14" s="36">
        <f t="shared" si="7"/>
        <v>113248.92</v>
      </c>
      <c r="AG14" s="27">
        <f t="shared" si="4"/>
        <v>463400.56</v>
      </c>
      <c r="AH14" s="36">
        <f>AH15+AH16</f>
        <v>466057</v>
      </c>
      <c r="AI14" s="29">
        <f t="shared" si="5"/>
        <v>2656.4400000000023</v>
      </c>
    </row>
    <row r="15" spans="1:35" s="39" customFormat="1" ht="21.75" customHeight="1">
      <c r="A15" s="23" t="s">
        <v>11</v>
      </c>
      <c r="B15" s="36">
        <v>296661.61</v>
      </c>
      <c r="C15" s="37"/>
      <c r="D15" s="37"/>
      <c r="E15" s="37">
        <v>36347.91</v>
      </c>
      <c r="F15" s="37">
        <v>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37"/>
      <c r="V15" s="38"/>
      <c r="W15" s="38"/>
      <c r="X15" s="37"/>
      <c r="Y15" s="37"/>
      <c r="Z15" s="38"/>
      <c r="AA15" s="38"/>
      <c r="AB15" s="38">
        <f>64455.15+417.99</f>
        <v>64873.14</v>
      </c>
      <c r="AC15" s="38"/>
      <c r="AD15" s="38"/>
      <c r="AE15" s="40"/>
      <c r="AF15" s="27">
        <f>SUM(C15:AE15)</f>
        <v>101221.05</v>
      </c>
      <c r="AG15" s="34">
        <f t="shared" si="4"/>
        <v>397882.66</v>
      </c>
      <c r="AH15" s="41">
        <v>399500</v>
      </c>
      <c r="AI15" s="29">
        <f t="shared" si="5"/>
        <v>1617.3400000000256</v>
      </c>
    </row>
    <row r="16" spans="1:35" s="39" customFormat="1" ht="21.75" customHeight="1">
      <c r="A16" s="23" t="s">
        <v>12</v>
      </c>
      <c r="B16" s="36">
        <v>53490.03</v>
      </c>
      <c r="C16" s="37"/>
      <c r="D16" s="37"/>
      <c r="E16" s="37">
        <v>5249.25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7"/>
      <c r="V16" s="38"/>
      <c r="W16" s="38"/>
      <c r="X16" s="37"/>
      <c r="Y16" s="37"/>
      <c r="Z16" s="38"/>
      <c r="AA16" s="38"/>
      <c r="AB16" s="38">
        <f>6733.74+44.88</f>
        <v>6778.62</v>
      </c>
      <c r="AC16" s="38"/>
      <c r="AD16" s="38"/>
      <c r="AE16" s="40"/>
      <c r="AF16" s="27">
        <f>SUM(C16:AE16)</f>
        <v>12027.869999999999</v>
      </c>
      <c r="AG16" s="34">
        <f t="shared" si="4"/>
        <v>65517.899999999994</v>
      </c>
      <c r="AH16" s="41">
        <f>42700+23857</f>
        <v>66557</v>
      </c>
      <c r="AI16" s="29">
        <f t="shared" si="5"/>
        <v>1039.1000000000058</v>
      </c>
    </row>
    <row r="17" spans="1:35" s="45" customFormat="1" ht="16.5" customHeight="1">
      <c r="A17" s="35" t="s">
        <v>14</v>
      </c>
      <c r="B17" s="36">
        <v>529</v>
      </c>
      <c r="C17" s="37"/>
      <c r="D17" s="37">
        <v>116.67</v>
      </c>
      <c r="E17" s="37"/>
      <c r="F17" s="37"/>
      <c r="G17" s="37"/>
      <c r="H17" s="37"/>
      <c r="I17" s="42"/>
      <c r="J17" s="42"/>
      <c r="K17" s="42"/>
      <c r="L17" s="37"/>
      <c r="M17" s="37"/>
      <c r="N17" s="37"/>
      <c r="O17" s="37"/>
      <c r="P17" s="37"/>
      <c r="Q17" s="42"/>
      <c r="R17" s="42"/>
      <c r="S17" s="42"/>
      <c r="T17" s="43"/>
      <c r="U17" s="37"/>
      <c r="V17" s="43"/>
      <c r="W17" s="43"/>
      <c r="X17" s="42"/>
      <c r="Y17" s="37"/>
      <c r="Z17" s="43"/>
      <c r="AA17" s="43">
        <v>150</v>
      </c>
      <c r="AB17" s="43"/>
      <c r="AC17" s="43"/>
      <c r="AD17" s="43"/>
      <c r="AE17" s="44"/>
      <c r="AF17" s="27">
        <f>SUM(C17:AD17)+AE17</f>
        <v>266.67</v>
      </c>
      <c r="AG17" s="27">
        <f t="shared" si="4"/>
        <v>795.6700000000001</v>
      </c>
      <c r="AH17" s="41">
        <v>800</v>
      </c>
      <c r="AI17" s="29">
        <f t="shared" si="5"/>
        <v>4.329999999999927</v>
      </c>
    </row>
    <row r="18" spans="1:35" s="45" customFormat="1" ht="16.5" customHeight="1">
      <c r="A18" s="23" t="s">
        <v>78</v>
      </c>
      <c r="B18" s="36"/>
      <c r="C18" s="37"/>
      <c r="D18" s="37"/>
      <c r="E18" s="37"/>
      <c r="F18" s="37"/>
      <c r="G18" s="37"/>
      <c r="H18" s="37"/>
      <c r="I18" s="42"/>
      <c r="J18" s="42"/>
      <c r="K18" s="42"/>
      <c r="L18" s="37"/>
      <c r="M18" s="37"/>
      <c r="N18" s="37"/>
      <c r="O18" s="37"/>
      <c r="P18" s="37"/>
      <c r="Q18" s="42"/>
      <c r="R18" s="42"/>
      <c r="S18" s="42"/>
      <c r="T18" s="43"/>
      <c r="U18" s="37"/>
      <c r="V18" s="43"/>
      <c r="W18" s="43"/>
      <c r="X18" s="42"/>
      <c r="Y18" s="37"/>
      <c r="Z18" s="43"/>
      <c r="AA18" s="43"/>
      <c r="AB18" s="43"/>
      <c r="AC18" s="43"/>
      <c r="AD18" s="43"/>
      <c r="AE18" s="44"/>
      <c r="AF18" s="27">
        <f aca="true" t="shared" si="8" ref="AF18:AF36">SUM(C18:AD18)</f>
        <v>0</v>
      </c>
      <c r="AG18" s="34">
        <f t="shared" si="4"/>
        <v>0</v>
      </c>
      <c r="AH18" s="41">
        <v>0</v>
      </c>
      <c r="AI18" s="29">
        <f t="shared" si="5"/>
        <v>0</v>
      </c>
    </row>
    <row r="19" spans="1:35" s="45" customFormat="1" ht="16.5" customHeight="1">
      <c r="A19" s="23" t="s">
        <v>62</v>
      </c>
      <c r="B19" s="36">
        <v>0</v>
      </c>
      <c r="C19" s="37"/>
      <c r="D19" s="37"/>
      <c r="E19" s="37"/>
      <c r="F19" s="37"/>
      <c r="G19" s="37"/>
      <c r="H19" s="37"/>
      <c r="I19" s="42"/>
      <c r="J19" s="42"/>
      <c r="K19" s="42"/>
      <c r="L19" s="37"/>
      <c r="M19" s="37"/>
      <c r="N19" s="37"/>
      <c r="O19" s="37"/>
      <c r="P19" s="37"/>
      <c r="Q19" s="42"/>
      <c r="R19" s="42"/>
      <c r="S19" s="42"/>
      <c r="T19" s="43"/>
      <c r="U19" s="37"/>
      <c r="V19" s="43"/>
      <c r="W19" s="43"/>
      <c r="X19" s="42"/>
      <c r="Y19" s="37"/>
      <c r="Z19" s="43"/>
      <c r="AA19" s="43"/>
      <c r="AB19" s="43"/>
      <c r="AC19" s="43"/>
      <c r="AD19" s="43"/>
      <c r="AE19" s="44"/>
      <c r="AF19" s="27">
        <f t="shared" si="8"/>
        <v>0</v>
      </c>
      <c r="AG19" s="34">
        <f t="shared" si="4"/>
        <v>0</v>
      </c>
      <c r="AH19" s="41">
        <v>0</v>
      </c>
      <c r="AI19" s="29">
        <f t="shared" si="5"/>
        <v>0</v>
      </c>
    </row>
    <row r="20" spans="1:35" s="39" customFormat="1" ht="19.5" customHeight="1">
      <c r="A20" s="35" t="s">
        <v>15</v>
      </c>
      <c r="B20" s="36">
        <v>137670.44</v>
      </c>
      <c r="C20" s="37"/>
      <c r="D20" s="37"/>
      <c r="E20" s="37"/>
      <c r="F20" s="37">
        <v>13514.93</v>
      </c>
      <c r="G20" s="37">
        <v>9.5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37"/>
      <c r="V20" s="38"/>
      <c r="W20" s="38"/>
      <c r="X20" s="37"/>
      <c r="Y20" s="37">
        <v>500</v>
      </c>
      <c r="Z20" s="38"/>
      <c r="AA20" s="38"/>
      <c r="AB20" s="38">
        <f>1000+15858</f>
        <v>16858</v>
      </c>
      <c r="AC20" s="38"/>
      <c r="AD20" s="38">
        <v>-3000</v>
      </c>
      <c r="AE20" s="40"/>
      <c r="AF20" s="27">
        <f>SUM(C20:AE20)</f>
        <v>27882.43</v>
      </c>
      <c r="AG20" s="34">
        <f t="shared" si="4"/>
        <v>165552.87</v>
      </c>
      <c r="AH20" s="41">
        <v>161500</v>
      </c>
      <c r="AI20" s="29">
        <f t="shared" si="5"/>
        <v>-4052.8699999999953</v>
      </c>
    </row>
    <row r="21" spans="1:35" s="39" customFormat="1" ht="18.75" customHeight="1">
      <c r="A21" s="35" t="s">
        <v>16</v>
      </c>
      <c r="B21" s="36">
        <v>896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37"/>
      <c r="V21" s="38"/>
      <c r="W21" s="38"/>
      <c r="X21" s="37"/>
      <c r="Y21" s="37"/>
      <c r="Z21" s="38"/>
      <c r="AA21" s="38"/>
      <c r="AB21" s="38"/>
      <c r="AC21" s="38"/>
      <c r="AD21" s="38"/>
      <c r="AE21" s="40"/>
      <c r="AF21" s="27">
        <f t="shared" si="8"/>
        <v>0</v>
      </c>
      <c r="AG21" s="34">
        <f t="shared" si="4"/>
        <v>896</v>
      </c>
      <c r="AH21" s="41">
        <v>7000</v>
      </c>
      <c r="AI21" s="29">
        <f t="shared" si="5"/>
        <v>6104</v>
      </c>
    </row>
    <row r="22" spans="1:35" s="39" customFormat="1" ht="18.75" customHeight="1">
      <c r="A22" s="35" t="s">
        <v>17</v>
      </c>
      <c r="B22" s="36">
        <v>96638.16</v>
      </c>
      <c r="C22" s="37"/>
      <c r="D22" s="37"/>
      <c r="E22" s="37"/>
      <c r="F22" s="37"/>
      <c r="G22" s="37"/>
      <c r="H22" s="37">
        <v>1200</v>
      </c>
      <c r="I22" s="37"/>
      <c r="J22" s="37"/>
      <c r="K22" s="37">
        <v>15000</v>
      </c>
      <c r="L22" s="37"/>
      <c r="M22" s="37"/>
      <c r="N22" s="37"/>
      <c r="O22" s="37"/>
      <c r="P22" s="37"/>
      <c r="Q22" s="37"/>
      <c r="R22" s="37"/>
      <c r="S22" s="37"/>
      <c r="T22" s="38"/>
      <c r="U22" s="37"/>
      <c r="V22" s="38"/>
      <c r="W22" s="38"/>
      <c r="X22" s="37"/>
      <c r="Y22" s="37"/>
      <c r="Z22" s="38"/>
      <c r="AA22" s="38"/>
      <c r="AB22" s="38"/>
      <c r="AC22" s="38"/>
      <c r="AD22" s="38"/>
      <c r="AE22" s="40"/>
      <c r="AF22" s="27">
        <f>SUM(C22:AD22)+AE22</f>
        <v>16200</v>
      </c>
      <c r="AG22" s="34">
        <f t="shared" si="4"/>
        <v>112838.16</v>
      </c>
      <c r="AH22" s="41">
        <v>113100</v>
      </c>
      <c r="AI22" s="29">
        <f t="shared" si="5"/>
        <v>261.8399999999965</v>
      </c>
    </row>
    <row r="23" spans="1:35" s="39" customFormat="1" ht="18.75" customHeight="1">
      <c r="A23" s="35" t="s">
        <v>76</v>
      </c>
      <c r="B23" s="36">
        <v>6150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37"/>
      <c r="V23" s="38"/>
      <c r="W23" s="38"/>
      <c r="X23" s="37"/>
      <c r="Y23" s="37"/>
      <c r="Z23" s="38"/>
      <c r="AA23" s="38"/>
      <c r="AB23" s="38"/>
      <c r="AC23" s="38"/>
      <c r="AD23" s="38"/>
      <c r="AE23" s="40"/>
      <c r="AF23" s="27">
        <f t="shared" si="8"/>
        <v>0</v>
      </c>
      <c r="AG23" s="34">
        <f t="shared" si="4"/>
        <v>6150</v>
      </c>
      <c r="AH23" s="41">
        <v>35000</v>
      </c>
      <c r="AI23" s="29">
        <f t="shared" si="5"/>
        <v>28850</v>
      </c>
    </row>
    <row r="24" spans="1:35" s="39" customFormat="1" ht="18.75" customHeight="1">
      <c r="A24" s="35" t="s">
        <v>18</v>
      </c>
      <c r="B24" s="36">
        <v>8855</v>
      </c>
      <c r="C24" s="37"/>
      <c r="D24" s="37"/>
      <c r="E24" s="37"/>
      <c r="F24" s="37"/>
      <c r="G24" s="37"/>
      <c r="H24" s="37">
        <v>900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  <c r="U24" s="37"/>
      <c r="V24" s="38"/>
      <c r="W24" s="38"/>
      <c r="X24" s="37"/>
      <c r="Y24" s="37"/>
      <c r="Z24" s="38"/>
      <c r="AA24" s="38"/>
      <c r="AB24" s="38"/>
      <c r="AC24" s="38"/>
      <c r="AD24" s="38"/>
      <c r="AE24" s="40"/>
      <c r="AF24" s="27">
        <f>SUM(C24:AD24)+AE24</f>
        <v>900</v>
      </c>
      <c r="AG24" s="34">
        <f t="shared" si="4"/>
        <v>9755</v>
      </c>
      <c r="AH24" s="41">
        <v>25000</v>
      </c>
      <c r="AI24" s="29">
        <f t="shared" si="5"/>
        <v>15245</v>
      </c>
    </row>
    <row r="25" spans="1:35" s="39" customFormat="1" ht="19.5" customHeight="1">
      <c r="A25" s="35" t="s">
        <v>19</v>
      </c>
      <c r="B25" s="36">
        <v>9038.11</v>
      </c>
      <c r="C25" s="37"/>
      <c r="D25" s="37"/>
      <c r="E25" s="37"/>
      <c r="F25" s="37">
        <v>1000</v>
      </c>
      <c r="G25" s="37"/>
      <c r="H25" s="37">
        <v>1350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37"/>
      <c r="V25" s="38"/>
      <c r="W25" s="38"/>
      <c r="X25" s="37"/>
      <c r="Y25" s="37"/>
      <c r="Z25" s="38"/>
      <c r="AA25" s="38"/>
      <c r="AB25" s="38"/>
      <c r="AC25" s="38"/>
      <c r="AD25" s="38"/>
      <c r="AE25" s="40"/>
      <c r="AF25" s="27">
        <f t="shared" si="8"/>
        <v>2350</v>
      </c>
      <c r="AG25" s="34">
        <f t="shared" si="4"/>
        <v>11388.11</v>
      </c>
      <c r="AH25" s="41">
        <v>11400</v>
      </c>
      <c r="AI25" s="29">
        <f t="shared" si="5"/>
        <v>11.889999999999418</v>
      </c>
    </row>
    <row r="26" spans="1:35" s="39" customFormat="1" ht="18.75" customHeight="1">
      <c r="A26" s="35" t="s">
        <v>20</v>
      </c>
      <c r="B26" s="36">
        <f>SUM(B27:B29)</f>
        <v>191851.02000000002</v>
      </c>
      <c r="C26" s="36">
        <f aca="true" t="shared" si="9" ref="C26:AB26">SUM(C27:C29)</f>
        <v>0</v>
      </c>
      <c r="D26" s="36">
        <f>SUM(D27:D29)</f>
        <v>0</v>
      </c>
      <c r="E26" s="36">
        <f aca="true" t="shared" si="10" ref="E26:M26">SUM(E27:E29)</f>
        <v>38766.56</v>
      </c>
      <c r="F26" s="36">
        <f t="shared" si="10"/>
        <v>0</v>
      </c>
      <c r="G26" s="36">
        <f>SUM(G27:G29)</f>
        <v>0</v>
      </c>
      <c r="H26" s="36">
        <f t="shared" si="10"/>
        <v>0</v>
      </c>
      <c r="I26" s="36">
        <f>SUM(I27:I29)</f>
        <v>0</v>
      </c>
      <c r="J26" s="36">
        <f t="shared" si="10"/>
        <v>0</v>
      </c>
      <c r="K26" s="36">
        <f>SUM(K27:K29)</f>
        <v>1131.07</v>
      </c>
      <c r="L26" s="36">
        <f t="shared" si="10"/>
        <v>0</v>
      </c>
      <c r="M26" s="36">
        <f t="shared" si="10"/>
        <v>0</v>
      </c>
      <c r="N26" s="36">
        <f t="shared" si="9"/>
        <v>0</v>
      </c>
      <c r="O26" s="36">
        <f t="shared" si="9"/>
        <v>0</v>
      </c>
      <c r="P26" s="36">
        <f t="shared" si="9"/>
        <v>0</v>
      </c>
      <c r="Q26" s="36">
        <f>Q27+Q28+Q29</f>
        <v>0</v>
      </c>
      <c r="R26" s="36">
        <f t="shared" si="9"/>
        <v>0</v>
      </c>
      <c r="S26" s="36">
        <f t="shared" si="9"/>
        <v>0</v>
      </c>
      <c r="T26" s="36">
        <f t="shared" si="9"/>
        <v>0</v>
      </c>
      <c r="U26" s="36">
        <f t="shared" si="9"/>
        <v>0</v>
      </c>
      <c r="V26" s="36">
        <f t="shared" si="9"/>
        <v>0</v>
      </c>
      <c r="W26" s="36">
        <f t="shared" si="9"/>
        <v>0</v>
      </c>
      <c r="X26" s="36">
        <f t="shared" si="9"/>
        <v>0</v>
      </c>
      <c r="Y26" s="36">
        <f t="shared" si="9"/>
        <v>0</v>
      </c>
      <c r="Z26" s="36">
        <f t="shared" si="9"/>
        <v>0</v>
      </c>
      <c r="AA26" s="36">
        <f t="shared" si="9"/>
        <v>47082.22</v>
      </c>
      <c r="AB26" s="36">
        <f t="shared" si="9"/>
        <v>182.49</v>
      </c>
      <c r="AC26" s="36"/>
      <c r="AD26" s="38"/>
      <c r="AE26" s="36">
        <f>SUM(AE27:AE29)</f>
        <v>0</v>
      </c>
      <c r="AF26" s="27">
        <f>SUM(C26:AD26)+AE26</f>
        <v>87162.34000000001</v>
      </c>
      <c r="AG26" s="34">
        <f>AG27+AG28+AG29</f>
        <v>279013.36000000004</v>
      </c>
      <c r="AH26" s="41">
        <v>309400</v>
      </c>
      <c r="AI26" s="29">
        <f aca="true" t="shared" si="11" ref="AI26:AI36">SUM(AH26-AG26)</f>
        <v>30386.639999999956</v>
      </c>
    </row>
    <row r="27" spans="1:35" s="39" customFormat="1" ht="19.5" customHeight="1">
      <c r="A27" s="35" t="s">
        <v>21</v>
      </c>
      <c r="B27" s="36">
        <v>172074.45</v>
      </c>
      <c r="C27" s="37"/>
      <c r="D27" s="37"/>
      <c r="E27" s="37">
        <v>38766.56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 s="37"/>
      <c r="V27" s="38"/>
      <c r="W27" s="38"/>
      <c r="X27" s="37"/>
      <c r="Y27" s="37"/>
      <c r="Z27" s="38"/>
      <c r="AA27" s="38">
        <v>47082.22</v>
      </c>
      <c r="AB27" s="38"/>
      <c r="AC27" s="38"/>
      <c r="AD27" s="38"/>
      <c r="AE27" s="40"/>
      <c r="AF27" s="27">
        <f t="shared" si="8"/>
        <v>85848.78</v>
      </c>
      <c r="AG27" s="34">
        <f aca="true" t="shared" si="12" ref="AG27:AG36">B27+AF27</f>
        <v>257923.23</v>
      </c>
      <c r="AH27" s="41"/>
      <c r="AI27" s="29">
        <f t="shared" si="11"/>
        <v>-257923.23</v>
      </c>
    </row>
    <row r="28" spans="1:35" s="39" customFormat="1" ht="18.75" customHeight="1">
      <c r="A28" s="35" t="s">
        <v>22</v>
      </c>
      <c r="B28" s="36">
        <v>16856.73</v>
      </c>
      <c r="C28" s="37"/>
      <c r="D28" s="37"/>
      <c r="E28" s="37"/>
      <c r="F28" s="37"/>
      <c r="G28" s="37"/>
      <c r="H28" s="37"/>
      <c r="I28" s="37"/>
      <c r="J28" s="37"/>
      <c r="K28" s="37">
        <v>1131.07</v>
      </c>
      <c r="L28" s="37"/>
      <c r="M28" s="37"/>
      <c r="N28" s="37"/>
      <c r="O28" s="37"/>
      <c r="P28" s="37"/>
      <c r="Q28" s="37"/>
      <c r="R28" s="37"/>
      <c r="S28" s="37"/>
      <c r="T28" s="38"/>
      <c r="U28" s="37"/>
      <c r="V28" s="38"/>
      <c r="W28" s="38"/>
      <c r="X28" s="37"/>
      <c r="Y28" s="37"/>
      <c r="Z28" s="38"/>
      <c r="AA28" s="38"/>
      <c r="AB28" s="38"/>
      <c r="AC28" s="38"/>
      <c r="AD28" s="38"/>
      <c r="AE28" s="40"/>
      <c r="AF28" s="27">
        <f t="shared" si="8"/>
        <v>1131.07</v>
      </c>
      <c r="AG28" s="34">
        <f t="shared" si="12"/>
        <v>17987.8</v>
      </c>
      <c r="AH28" s="41"/>
      <c r="AI28" s="29">
        <f t="shared" si="11"/>
        <v>-17987.8</v>
      </c>
    </row>
    <row r="29" spans="1:35" s="39" customFormat="1" ht="19.5" customHeight="1">
      <c r="A29" s="35" t="s">
        <v>23</v>
      </c>
      <c r="B29" s="36">
        <v>2919.84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37"/>
      <c r="V29" s="38"/>
      <c r="W29" s="38"/>
      <c r="X29" s="37"/>
      <c r="Y29" s="37"/>
      <c r="Z29" s="38"/>
      <c r="AA29" s="38"/>
      <c r="AB29" s="38">
        <v>182.49</v>
      </c>
      <c r="AC29" s="38"/>
      <c r="AD29" s="38"/>
      <c r="AE29" s="40"/>
      <c r="AF29" s="27">
        <f>SUM(C29:AD29)+AE29</f>
        <v>182.49</v>
      </c>
      <c r="AG29" s="34">
        <f t="shared" si="12"/>
        <v>3102.33</v>
      </c>
      <c r="AH29" s="41"/>
      <c r="AI29" s="29">
        <f t="shared" si="11"/>
        <v>-3102.33</v>
      </c>
    </row>
    <row r="30" spans="1:35" s="39" customFormat="1" ht="24" customHeight="1">
      <c r="A30" s="35" t="s">
        <v>24</v>
      </c>
      <c r="B30" s="36">
        <v>90160</v>
      </c>
      <c r="C30" s="37"/>
      <c r="D30" s="37"/>
      <c r="E30" s="37">
        <v>12000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37"/>
      <c r="V30" s="38"/>
      <c r="W30" s="38"/>
      <c r="X30" s="37"/>
      <c r="Y30" s="37">
        <v>6000</v>
      </c>
      <c r="Z30" s="38">
        <v>6000</v>
      </c>
      <c r="AA30" s="38"/>
      <c r="AB30" s="38"/>
      <c r="AC30" s="38"/>
      <c r="AD30" s="38"/>
      <c r="AE30" s="40"/>
      <c r="AF30" s="27">
        <f>SUM(C30:AD30)+AE30</f>
        <v>24000</v>
      </c>
      <c r="AG30" s="34">
        <f t="shared" si="12"/>
        <v>114160</v>
      </c>
      <c r="AH30" s="41">
        <v>548700</v>
      </c>
      <c r="AI30" s="29">
        <f t="shared" si="11"/>
        <v>434540</v>
      </c>
    </row>
    <row r="31" spans="1:35" s="39" customFormat="1" ht="20.25" customHeight="1">
      <c r="A31" s="35" t="s">
        <v>25</v>
      </c>
      <c r="B31" s="36">
        <v>141672.68</v>
      </c>
      <c r="C31" s="37"/>
      <c r="D31" s="37"/>
      <c r="E31" s="37">
        <v>2218.5</v>
      </c>
      <c r="F31" s="37"/>
      <c r="G31" s="37"/>
      <c r="H31" s="37">
        <v>83592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37"/>
      <c r="V31" s="38"/>
      <c r="W31" s="38"/>
      <c r="X31" s="37"/>
      <c r="Y31" s="37"/>
      <c r="Z31" s="38"/>
      <c r="AA31" s="38"/>
      <c r="AB31" s="38"/>
      <c r="AC31" s="38">
        <v>27612.5</v>
      </c>
      <c r="AD31" s="38">
        <v>4500</v>
      </c>
      <c r="AE31" s="40"/>
      <c r="AF31" s="27">
        <f>SUM(C31:AD31)+AE31</f>
        <v>117923</v>
      </c>
      <c r="AG31" s="34">
        <f t="shared" si="12"/>
        <v>259595.68</v>
      </c>
      <c r="AH31" s="41">
        <v>233800</v>
      </c>
      <c r="AI31" s="29">
        <f t="shared" si="11"/>
        <v>-25795.679999999993</v>
      </c>
    </row>
    <row r="32" spans="1:35" s="39" customFormat="1" ht="20.25" customHeight="1">
      <c r="A32" s="35" t="s">
        <v>26</v>
      </c>
      <c r="B32" s="36">
        <v>24596.88</v>
      </c>
      <c r="C32" s="37"/>
      <c r="D32" s="37"/>
      <c r="E32" s="37"/>
      <c r="F32" s="37"/>
      <c r="G32" s="37"/>
      <c r="H32" s="37">
        <v>1000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37"/>
      <c r="V32" s="38"/>
      <c r="W32" s="38"/>
      <c r="X32" s="37"/>
      <c r="Y32" s="37"/>
      <c r="Z32" s="38"/>
      <c r="AA32" s="38"/>
      <c r="AB32" s="38">
        <v>1000</v>
      </c>
      <c r="AC32" s="38"/>
      <c r="AD32" s="38"/>
      <c r="AE32" s="40"/>
      <c r="AF32" s="27">
        <f t="shared" si="8"/>
        <v>2000</v>
      </c>
      <c r="AG32" s="34">
        <f>B32+AF32</f>
        <v>26596.88</v>
      </c>
      <c r="AH32" s="41">
        <v>31000</v>
      </c>
      <c r="AI32" s="29">
        <f t="shared" si="11"/>
        <v>4403.119999999999</v>
      </c>
    </row>
    <row r="33" spans="1:35" s="39" customFormat="1" ht="20.25" customHeight="1">
      <c r="A33" s="35" t="s">
        <v>43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37"/>
      <c r="V33" s="38"/>
      <c r="W33" s="38"/>
      <c r="X33" s="37"/>
      <c r="Y33" s="37"/>
      <c r="Z33" s="38"/>
      <c r="AA33" s="38"/>
      <c r="AB33" s="38"/>
      <c r="AC33" s="38"/>
      <c r="AD33" s="38"/>
      <c r="AE33" s="40"/>
      <c r="AF33" s="27">
        <f t="shared" si="8"/>
        <v>0</v>
      </c>
      <c r="AG33" s="34">
        <f t="shared" si="12"/>
        <v>0</v>
      </c>
      <c r="AH33" s="41">
        <v>0</v>
      </c>
      <c r="AI33" s="29">
        <f t="shared" si="11"/>
        <v>0</v>
      </c>
    </row>
    <row r="34" spans="1:35" s="39" customFormat="1" ht="20.25" customHeight="1">
      <c r="A34" s="35" t="s">
        <v>27</v>
      </c>
      <c r="B34" s="36">
        <v>155641.39</v>
      </c>
      <c r="C34" s="37"/>
      <c r="D34" s="37"/>
      <c r="E34" s="37"/>
      <c r="F34" s="37">
        <v>5000</v>
      </c>
      <c r="G34" s="37"/>
      <c r="H34" s="37">
        <v>167.5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37"/>
      <c r="V34" s="38"/>
      <c r="W34" s="38"/>
      <c r="X34" s="37"/>
      <c r="Y34" s="37"/>
      <c r="Z34" s="38"/>
      <c r="AA34" s="38"/>
      <c r="AB34" s="38">
        <v>3500.5</v>
      </c>
      <c r="AC34" s="38"/>
      <c r="AD34" s="38"/>
      <c r="AE34" s="40"/>
      <c r="AF34" s="27">
        <f>SUM(C34:AD34)+AE34</f>
        <v>8668</v>
      </c>
      <c r="AG34" s="34">
        <f t="shared" si="12"/>
        <v>164309.39</v>
      </c>
      <c r="AH34" s="41">
        <v>181100</v>
      </c>
      <c r="AI34" s="29">
        <f t="shared" si="11"/>
        <v>16790.609999999986</v>
      </c>
    </row>
    <row r="35" spans="1:35" s="39" customFormat="1" ht="20.25" customHeight="1">
      <c r="A35" s="35" t="s">
        <v>28</v>
      </c>
      <c r="B35" s="36">
        <v>317496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37"/>
      <c r="V35" s="38"/>
      <c r="W35" s="38"/>
      <c r="X35" s="37"/>
      <c r="Y35" s="37"/>
      <c r="Z35" s="38"/>
      <c r="AA35" s="38"/>
      <c r="AB35" s="38"/>
      <c r="AC35" s="38"/>
      <c r="AD35" s="38"/>
      <c r="AE35" s="40"/>
      <c r="AF35" s="27">
        <f t="shared" si="8"/>
        <v>0</v>
      </c>
      <c r="AG35" s="34">
        <f t="shared" si="12"/>
        <v>317496</v>
      </c>
      <c r="AH35" s="41">
        <v>365400</v>
      </c>
      <c r="AI35" s="29">
        <f t="shared" si="11"/>
        <v>47904</v>
      </c>
    </row>
    <row r="36" spans="1:35" s="39" customFormat="1" ht="19.5" customHeight="1">
      <c r="A36" s="35" t="s">
        <v>29</v>
      </c>
      <c r="B36" s="36">
        <v>50329.57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  <c r="U36" s="37"/>
      <c r="V36" s="38"/>
      <c r="W36" s="38"/>
      <c r="X36" s="37"/>
      <c r="Y36" s="37"/>
      <c r="Z36" s="38"/>
      <c r="AA36" s="38"/>
      <c r="AB36" s="38"/>
      <c r="AC36" s="38"/>
      <c r="AD36" s="38"/>
      <c r="AE36" s="40"/>
      <c r="AF36" s="27">
        <f t="shared" si="8"/>
        <v>0</v>
      </c>
      <c r="AG36" s="34">
        <f t="shared" si="12"/>
        <v>50329.57</v>
      </c>
      <c r="AH36" s="41">
        <v>74200</v>
      </c>
      <c r="AI36" s="29">
        <f t="shared" si="11"/>
        <v>23870.43</v>
      </c>
    </row>
    <row r="37" spans="1:35" s="39" customFormat="1" ht="18.75" customHeight="1">
      <c r="A37" s="12" t="s">
        <v>8</v>
      </c>
      <c r="B37" s="46">
        <f>B11+B17+B20+B22+B26+B30+B31+B32+B34+B36+B21+B24+B25+B14+B35+B23+B33+B18+B19</f>
        <v>2838308.5599999996</v>
      </c>
      <c r="C37" s="46">
        <f>C11+C17+C20+C22+C26+C30+C31+C32+C34+C36+C21+C24+C25+C14+C19</f>
        <v>0</v>
      </c>
      <c r="D37" s="46">
        <f>D11+D17+D20+D22+D26+D30+D31+D32+D34+D36+D21+D24+D25+D14+D23+D35</f>
        <v>89068.87</v>
      </c>
      <c r="E37" s="46">
        <f>E11+E17+E20+E22+E26+E30+E31+E32+E34+E36+E21+E24+E25+E14+E35+E23</f>
        <v>112052.22</v>
      </c>
      <c r="F37" s="46">
        <f aca="true" t="shared" si="13" ref="F37:AE37">F11+F17+F20+F22+F26+F30+F31+F32+F34+F36+F21+F24+F25+F14</f>
        <v>19514.93</v>
      </c>
      <c r="G37" s="46">
        <f>G11+G17+G20+G22+G26+G30+G31+G32+G34+G36+G21+G24+G25+G14+G18+G19+G35</f>
        <v>9.5</v>
      </c>
      <c r="H37" s="46">
        <f t="shared" si="13"/>
        <v>88209.5</v>
      </c>
      <c r="I37" s="46">
        <f>I11+I17+I20+I22+I26+I30+I31+I32+I34+I36+I21+I24+I25+I14+I33+I35</f>
        <v>0</v>
      </c>
      <c r="J37" s="46">
        <f>J11+J17+J20+J22+J26+J30+J31+J32+J34+J36+J21+J24+J25+J14+J35+J33</f>
        <v>0</v>
      </c>
      <c r="K37" s="46">
        <f>K11+K17+K20+K22+K26+K30+K31+K32+K34+K36+K21+K24+K25+K14+K35+K23</f>
        <v>42596.07</v>
      </c>
      <c r="L37" s="46">
        <f>L11+L17+L20+L22+L26+L30+L31+L32+L34+L36+L21+L24+L25+L14+L35</f>
        <v>0</v>
      </c>
      <c r="M37" s="46">
        <f t="shared" si="13"/>
        <v>0</v>
      </c>
      <c r="N37" s="46">
        <f t="shared" si="13"/>
        <v>0</v>
      </c>
      <c r="O37" s="46">
        <f t="shared" si="13"/>
        <v>0</v>
      </c>
      <c r="P37" s="46">
        <f t="shared" si="13"/>
        <v>0</v>
      </c>
      <c r="Q37" s="46">
        <f t="shared" si="13"/>
        <v>0</v>
      </c>
      <c r="R37" s="46">
        <f t="shared" si="13"/>
        <v>0</v>
      </c>
      <c r="S37" s="46">
        <f t="shared" si="13"/>
        <v>0</v>
      </c>
      <c r="T37" s="46">
        <f t="shared" si="13"/>
        <v>0</v>
      </c>
      <c r="U37" s="46">
        <f t="shared" si="13"/>
        <v>0</v>
      </c>
      <c r="V37" s="46">
        <f t="shared" si="13"/>
        <v>0</v>
      </c>
      <c r="W37" s="46">
        <f t="shared" si="13"/>
        <v>0</v>
      </c>
      <c r="X37" s="46">
        <f t="shared" si="13"/>
        <v>0</v>
      </c>
      <c r="Y37" s="46">
        <f>Y11+Y17+Y20+Y22+Y26+Y30+Y31+Y32+Y34+Y36+Y21+Y24+Y25+Y14+Y18+Y19</f>
        <v>6500</v>
      </c>
      <c r="Z37" s="46">
        <f t="shared" si="13"/>
        <v>6000</v>
      </c>
      <c r="AA37" s="46">
        <f t="shared" si="13"/>
        <v>230132.16999999998</v>
      </c>
      <c r="AB37" s="46">
        <f t="shared" si="13"/>
        <v>123170.75</v>
      </c>
      <c r="AC37" s="46">
        <f t="shared" si="13"/>
        <v>27612.5</v>
      </c>
      <c r="AD37" s="46">
        <f>AD11+AD17+AD20+AD22+AD26+AD30+AD31+AD32+AD34+AD36+AD21+AD24+AD25+AD14+AD35</f>
        <v>1500</v>
      </c>
      <c r="AE37" s="46">
        <f t="shared" si="13"/>
        <v>0</v>
      </c>
      <c r="AF37" s="46">
        <f>AF11+AF17+AF20+AF22+AF26+AF30+AF31+AF32+AF34+AF36+AF21+AF24+AF25+AF14+AF35+AF33+AF18+AF19</f>
        <v>746366.51</v>
      </c>
      <c r="AG37" s="46">
        <f>AG11+AG17+AG20+AG22+AG26+AG30+AG31+AG32+AG34+AG36+AG21+AG24+AG25+AG14+AG35+AG23+AG33+AG18+AG19</f>
        <v>3584675.07</v>
      </c>
      <c r="AH37" s="46">
        <f>AH11+AH17+AH20+AH22+AH26+AH30+AH31+AH32+AH34+AH36+AH24+AH25+AH14+AH21+AH35+AH23+AH33+AH18+AH19</f>
        <v>4102575</v>
      </c>
      <c r="AI37" s="29">
        <f>AH37-AG37</f>
        <v>517899.93000000017</v>
      </c>
    </row>
    <row r="38" spans="1:35" s="39" customFormat="1" ht="15" customHeight="1">
      <c r="A38" s="82" t="s">
        <v>85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21"/>
      <c r="AH38" s="47"/>
      <c r="AI38" s="29"/>
    </row>
    <row r="39" spans="1:35" s="39" customFormat="1" ht="18.75" customHeight="1">
      <c r="A39" s="35" t="s">
        <v>78</v>
      </c>
      <c r="B39" s="36">
        <v>59257.16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40"/>
      <c r="AF39" s="27">
        <f>SUM(C39:AD39)</f>
        <v>0</v>
      </c>
      <c r="AG39" s="34">
        <f>B39+AF39</f>
        <v>59257.16</v>
      </c>
      <c r="AH39" s="47">
        <v>59300</v>
      </c>
      <c r="AI39" s="29">
        <f>AH39-AG39</f>
        <v>42.83999999999651</v>
      </c>
    </row>
    <row r="40" spans="1:35" s="39" customFormat="1" ht="15" customHeight="1" hidden="1">
      <c r="A40" s="35" t="s">
        <v>7</v>
      </c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40"/>
      <c r="AF40" s="27">
        <f>SUM(C40:AD40)</f>
        <v>0</v>
      </c>
      <c r="AG40" s="34">
        <f>B40+AF40</f>
        <v>0</v>
      </c>
      <c r="AH40" s="48"/>
      <c r="AI40" s="29"/>
    </row>
    <row r="41" spans="1:35" s="39" customFormat="1" ht="15" customHeight="1" hidden="1">
      <c r="A41" s="35" t="s">
        <v>31</v>
      </c>
      <c r="B41" s="3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40"/>
      <c r="AF41" s="27">
        <f>SUM(C41:AD41)</f>
        <v>0</v>
      </c>
      <c r="AG41" s="34">
        <f>B41+AF41</f>
        <v>0</v>
      </c>
      <c r="AH41" s="48"/>
      <c r="AI41" s="29"/>
    </row>
    <row r="42" spans="1:35" s="39" customFormat="1" ht="15" customHeight="1" hidden="1">
      <c r="A42" s="35" t="s">
        <v>32</v>
      </c>
      <c r="B42" s="3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40"/>
      <c r="AF42" s="27">
        <f>SUM(C42:AD42)</f>
        <v>0</v>
      </c>
      <c r="AG42" s="34">
        <f>B42+AF42</f>
        <v>0</v>
      </c>
      <c r="AH42" s="48"/>
      <c r="AI42" s="29"/>
    </row>
    <row r="43" spans="1:35" s="39" customFormat="1" ht="19.5" customHeight="1">
      <c r="A43" s="12" t="s">
        <v>8</v>
      </c>
      <c r="B43" s="43">
        <f>SUM(B39:B42)</f>
        <v>59257.16</v>
      </c>
      <c r="C43" s="43">
        <f>SUM(C39:C42)</f>
        <v>0</v>
      </c>
      <c r="D43" s="43">
        <f aca="true" t="shared" si="14" ref="D43:Z43">SUM(D39:D42)</f>
        <v>0</v>
      </c>
      <c r="E43" s="43">
        <f t="shared" si="14"/>
        <v>0</v>
      </c>
      <c r="F43" s="43">
        <f t="shared" si="14"/>
        <v>0</v>
      </c>
      <c r="G43" s="43">
        <f t="shared" si="14"/>
        <v>0</v>
      </c>
      <c r="H43" s="43">
        <f t="shared" si="14"/>
        <v>0</v>
      </c>
      <c r="I43" s="43">
        <f t="shared" si="14"/>
        <v>0</v>
      </c>
      <c r="J43" s="43">
        <f t="shared" si="14"/>
        <v>0</v>
      </c>
      <c r="K43" s="43">
        <f t="shared" si="14"/>
        <v>0</v>
      </c>
      <c r="L43" s="43">
        <f t="shared" si="14"/>
        <v>0</v>
      </c>
      <c r="M43" s="43">
        <f t="shared" si="14"/>
        <v>0</v>
      </c>
      <c r="N43" s="43">
        <f t="shared" si="14"/>
        <v>0</v>
      </c>
      <c r="O43" s="43">
        <f t="shared" si="14"/>
        <v>0</v>
      </c>
      <c r="P43" s="43">
        <f t="shared" si="14"/>
        <v>0</v>
      </c>
      <c r="Q43" s="43">
        <f t="shared" si="14"/>
        <v>0</v>
      </c>
      <c r="R43" s="43">
        <f t="shared" si="14"/>
        <v>0</v>
      </c>
      <c r="S43" s="43">
        <f t="shared" si="14"/>
        <v>0</v>
      </c>
      <c r="T43" s="43">
        <f t="shared" si="14"/>
        <v>0</v>
      </c>
      <c r="U43" s="43">
        <f t="shared" si="14"/>
        <v>0</v>
      </c>
      <c r="V43" s="43">
        <f t="shared" si="14"/>
        <v>0</v>
      </c>
      <c r="W43" s="43">
        <f t="shared" si="14"/>
        <v>0</v>
      </c>
      <c r="X43" s="43">
        <f t="shared" si="14"/>
        <v>0</v>
      </c>
      <c r="Y43" s="38"/>
      <c r="Z43" s="43">
        <f t="shared" si="14"/>
        <v>0</v>
      </c>
      <c r="AA43" s="38">
        <f>AA39</f>
        <v>0</v>
      </c>
      <c r="AB43" s="38"/>
      <c r="AC43" s="38"/>
      <c r="AD43" s="38"/>
      <c r="AE43" s="40"/>
      <c r="AF43" s="27">
        <f>SUM(AF39:AF42)</f>
        <v>0</v>
      </c>
      <c r="AG43" s="34">
        <f>SUM(AG39:AG42)</f>
        <v>59257.16</v>
      </c>
      <c r="AH43" s="34">
        <f>AH39</f>
        <v>59300</v>
      </c>
      <c r="AI43" s="29">
        <f>AH43-AG43</f>
        <v>42.83999999999651</v>
      </c>
    </row>
    <row r="44" spans="1:35" s="39" customFormat="1" ht="15" customHeight="1">
      <c r="A44" s="82" t="s">
        <v>81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21"/>
      <c r="AH44" s="41"/>
      <c r="AI44" s="49"/>
    </row>
    <row r="45" spans="1:35" s="39" customFormat="1" ht="19.5" customHeight="1">
      <c r="A45" s="35" t="s">
        <v>10</v>
      </c>
      <c r="B45" s="36">
        <v>163990.17</v>
      </c>
      <c r="C45" s="38"/>
      <c r="D45" s="38">
        <v>9560</v>
      </c>
      <c r="E45" s="38">
        <v>1623</v>
      </c>
      <c r="F45" s="38"/>
      <c r="G45" s="38"/>
      <c r="H45" s="38"/>
      <c r="I45" s="38"/>
      <c r="J45" s="38"/>
      <c r="K45" s="38">
        <v>1726.83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40"/>
      <c r="AF45" s="27">
        <f>SUM(C45:AD45)+AE45</f>
        <v>12909.83</v>
      </c>
      <c r="AG45" s="34">
        <f>B45+AF45</f>
        <v>176900</v>
      </c>
      <c r="AH45" s="41">
        <v>176900</v>
      </c>
      <c r="AI45" s="29">
        <f aca="true" t="shared" si="15" ref="AI45:AI50">SUM(AH45-AG45)</f>
        <v>0</v>
      </c>
    </row>
    <row r="46" spans="1:35" s="39" customFormat="1" ht="19.5" customHeight="1">
      <c r="A46" s="35" t="s">
        <v>13</v>
      </c>
      <c r="B46" s="36">
        <v>45459.33</v>
      </c>
      <c r="C46" s="38"/>
      <c r="D46" s="38"/>
      <c r="E46" s="38">
        <v>4615.46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>
        <v>825.21</v>
      </c>
      <c r="AC46" s="38"/>
      <c r="AD46" s="38"/>
      <c r="AE46" s="40"/>
      <c r="AF46" s="27">
        <f>SUM(C46:AD46)+AE46</f>
        <v>5440.67</v>
      </c>
      <c r="AG46" s="34">
        <f>B46+AF46</f>
        <v>50900</v>
      </c>
      <c r="AH46" s="50">
        <v>50900</v>
      </c>
      <c r="AI46" s="29">
        <f t="shared" si="15"/>
        <v>0</v>
      </c>
    </row>
    <row r="47" spans="1:35" s="39" customFormat="1" ht="21.75" customHeight="1">
      <c r="A47" s="35" t="s">
        <v>15</v>
      </c>
      <c r="B47" s="36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40"/>
      <c r="AF47" s="27">
        <f>SUM(C47:AE47)</f>
        <v>0</v>
      </c>
      <c r="AG47" s="34">
        <f>B47+AF47</f>
        <v>0</v>
      </c>
      <c r="AH47" s="51">
        <v>0</v>
      </c>
      <c r="AI47" s="29">
        <f t="shared" si="15"/>
        <v>0</v>
      </c>
    </row>
    <row r="48" spans="1:35" s="39" customFormat="1" ht="21.75" customHeight="1">
      <c r="A48" s="35" t="s">
        <v>29</v>
      </c>
      <c r="B48" s="36">
        <v>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40"/>
      <c r="AF48" s="27">
        <f>SUM(C48:AD48)+AE48</f>
        <v>0</v>
      </c>
      <c r="AG48" s="34">
        <f>B48+AF48</f>
        <v>0</v>
      </c>
      <c r="AH48" s="41">
        <v>0</v>
      </c>
      <c r="AI48" s="29">
        <f t="shared" si="15"/>
        <v>0</v>
      </c>
    </row>
    <row r="49" spans="1:35" s="39" customFormat="1" ht="21.75" customHeight="1">
      <c r="A49" s="35" t="s">
        <v>27</v>
      </c>
      <c r="B49" s="36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40"/>
      <c r="AF49" s="27"/>
      <c r="AG49" s="34"/>
      <c r="AH49" s="41">
        <v>0</v>
      </c>
      <c r="AI49" s="29">
        <f t="shared" si="15"/>
        <v>0</v>
      </c>
    </row>
    <row r="50" spans="1:35" s="39" customFormat="1" ht="22.5" customHeight="1">
      <c r="A50" s="35" t="s">
        <v>82</v>
      </c>
      <c r="B50" s="36">
        <v>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40"/>
      <c r="AF50" s="27">
        <f>SUM(C50:AD50)+AE50</f>
        <v>0</v>
      </c>
      <c r="AG50" s="34">
        <f>B50+AF50</f>
        <v>0</v>
      </c>
      <c r="AH50" s="76">
        <v>0</v>
      </c>
      <c r="AI50" s="29">
        <f t="shared" si="15"/>
        <v>0</v>
      </c>
    </row>
    <row r="51" spans="1:35" s="39" customFormat="1" ht="23.25" customHeight="1">
      <c r="A51" s="12" t="s">
        <v>8</v>
      </c>
      <c r="B51" s="43">
        <f aca="true" t="shared" si="16" ref="B51:Y51">SUM(B45:B50)</f>
        <v>209449.5</v>
      </c>
      <c r="C51" s="43">
        <f t="shared" si="16"/>
        <v>0</v>
      </c>
      <c r="D51" s="43">
        <f t="shared" si="16"/>
        <v>9560</v>
      </c>
      <c r="E51" s="43">
        <f t="shared" si="16"/>
        <v>6238.46</v>
      </c>
      <c r="F51" s="43">
        <f t="shared" si="16"/>
        <v>0</v>
      </c>
      <c r="G51" s="43">
        <f t="shared" si="16"/>
        <v>0</v>
      </c>
      <c r="H51" s="43">
        <f t="shared" si="16"/>
        <v>0</v>
      </c>
      <c r="I51" s="43">
        <f t="shared" si="16"/>
        <v>0</v>
      </c>
      <c r="J51" s="43">
        <f>SUM(J45:J50)</f>
        <v>0</v>
      </c>
      <c r="K51" s="43">
        <f t="shared" si="16"/>
        <v>1726.83</v>
      </c>
      <c r="L51" s="43">
        <f t="shared" si="16"/>
        <v>0</v>
      </c>
      <c r="M51" s="43">
        <f t="shared" si="16"/>
        <v>0</v>
      </c>
      <c r="N51" s="43">
        <f t="shared" si="16"/>
        <v>0</v>
      </c>
      <c r="O51" s="43">
        <f t="shared" si="16"/>
        <v>0</v>
      </c>
      <c r="P51" s="43">
        <f t="shared" si="16"/>
        <v>0</v>
      </c>
      <c r="Q51" s="43">
        <f t="shared" si="16"/>
        <v>0</v>
      </c>
      <c r="R51" s="43">
        <f t="shared" si="16"/>
        <v>0</v>
      </c>
      <c r="S51" s="43">
        <f t="shared" si="16"/>
        <v>0</v>
      </c>
      <c r="T51" s="43">
        <f t="shared" si="16"/>
        <v>0</v>
      </c>
      <c r="U51" s="43">
        <f t="shared" si="16"/>
        <v>0</v>
      </c>
      <c r="V51" s="43">
        <f t="shared" si="16"/>
        <v>0</v>
      </c>
      <c r="W51" s="43">
        <f t="shared" si="16"/>
        <v>0</v>
      </c>
      <c r="X51" s="43">
        <f t="shared" si="16"/>
        <v>0</v>
      </c>
      <c r="Y51" s="43">
        <f t="shared" si="16"/>
        <v>0</v>
      </c>
      <c r="Z51" s="43">
        <f>Z45+Z46+Z47+Z48+Z50</f>
        <v>0</v>
      </c>
      <c r="AA51" s="43">
        <f>SUM(AA45:AA50)</f>
        <v>0</v>
      </c>
      <c r="AB51" s="43">
        <f>AB45+AB46+AB47+AB48+AB50</f>
        <v>825.21</v>
      </c>
      <c r="AC51" s="43">
        <f>SUM(AC45:AC50)</f>
        <v>0</v>
      </c>
      <c r="AD51" s="43">
        <f>SUM(AD45:AD50)</f>
        <v>0</v>
      </c>
      <c r="AE51" s="43">
        <f>SUM(AE45:AE50)</f>
        <v>0</v>
      </c>
      <c r="AF51" s="43">
        <f>SUM(AF45:AF50)</f>
        <v>18350.5</v>
      </c>
      <c r="AG51" s="46">
        <f>AG45+AG50+AG47+AG46+AG48</f>
        <v>227800</v>
      </c>
      <c r="AH51" s="46">
        <f>AH45+AH50+AH47+AH46+AH48+AH49</f>
        <v>227800</v>
      </c>
      <c r="AI51" s="29">
        <f>AH51-AG51</f>
        <v>0</v>
      </c>
    </row>
    <row r="52" spans="1:35" s="39" customFormat="1" ht="23.25" customHeight="1">
      <c r="A52" s="82" t="s">
        <v>86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77"/>
      <c r="AH52" s="77"/>
      <c r="AI52" s="29"/>
    </row>
    <row r="53" spans="1:35" s="39" customFormat="1" ht="23.25" customHeight="1">
      <c r="A53" s="79" t="s">
        <v>10</v>
      </c>
      <c r="B53" s="72"/>
      <c r="C53" s="72"/>
      <c r="D53" s="72"/>
      <c r="E53" s="72"/>
      <c r="F53" s="72"/>
      <c r="G53" s="72"/>
      <c r="H53" s="72"/>
      <c r="I53" s="72"/>
      <c r="J53" s="72"/>
      <c r="K53" s="79" t="s">
        <v>103</v>
      </c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 t="s">
        <v>106</v>
      </c>
      <c r="AB53" s="72" t="s">
        <v>107</v>
      </c>
      <c r="AC53" s="72"/>
      <c r="AD53" s="72"/>
      <c r="AE53" s="72"/>
      <c r="AF53" s="27">
        <f>I53+J53+K53+L53+Y53+Z53+AA53+AB53</f>
        <v>34640.18</v>
      </c>
      <c r="AG53" s="27">
        <f>B53+AF53</f>
        <v>34640.18</v>
      </c>
      <c r="AH53" s="77"/>
      <c r="AI53" s="29">
        <f>SUM(AH53-AG53)</f>
        <v>-34640.18</v>
      </c>
    </row>
    <row r="54" spans="1:35" s="39" customFormat="1" ht="23.25" customHeight="1">
      <c r="A54" s="79" t="s">
        <v>13</v>
      </c>
      <c r="B54" s="72"/>
      <c r="C54" s="72"/>
      <c r="D54" s="72"/>
      <c r="E54" s="72"/>
      <c r="F54" s="72"/>
      <c r="G54" s="72"/>
      <c r="H54" s="72"/>
      <c r="I54" s="72"/>
      <c r="J54" s="72"/>
      <c r="K54" s="79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 t="s">
        <v>108</v>
      </c>
      <c r="AC54" s="72"/>
      <c r="AD54" s="72"/>
      <c r="AE54" s="72"/>
      <c r="AF54" s="27">
        <f>I54+J54+K54+L54+Y54+Z54+AA54+AB54</f>
        <v>10157.63</v>
      </c>
      <c r="AG54" s="27">
        <f>B54+AF54</f>
        <v>10157.63</v>
      </c>
      <c r="AH54" s="77"/>
      <c r="AI54" s="29">
        <f>SUM(AH54-AG54)</f>
        <v>-10157.63</v>
      </c>
    </row>
    <row r="55" spans="1:35" s="39" customFormat="1" ht="23.25" customHeight="1">
      <c r="A55" s="23" t="s">
        <v>82</v>
      </c>
      <c r="B55" s="15" t="s">
        <v>87</v>
      </c>
      <c r="C55" s="24"/>
      <c r="D55" s="24"/>
      <c r="E55" s="24"/>
      <c r="F55" s="24"/>
      <c r="G55" s="24"/>
      <c r="H55" s="24"/>
      <c r="I55" s="24"/>
      <c r="J55" s="24"/>
      <c r="K55" s="80"/>
      <c r="L55" s="24"/>
      <c r="M55" s="24"/>
      <c r="N55" s="24"/>
      <c r="O55" s="24"/>
      <c r="P55" s="24"/>
      <c r="Q55" s="24"/>
      <c r="R55" s="24"/>
      <c r="S55" s="25"/>
      <c r="T55" s="25"/>
      <c r="U55" s="24"/>
      <c r="V55" s="24"/>
      <c r="W55" s="25"/>
      <c r="X55" s="24"/>
      <c r="Y55" s="24"/>
      <c r="Z55" s="25"/>
      <c r="AA55" s="25"/>
      <c r="AB55" s="25"/>
      <c r="AC55" s="25"/>
      <c r="AD55" s="25"/>
      <c r="AE55" s="26"/>
      <c r="AF55" s="27">
        <f>SUM(C55:AD55)+AE55</f>
        <v>0</v>
      </c>
      <c r="AG55" s="27">
        <f>B55+AF55</f>
        <v>2667.05</v>
      </c>
      <c r="AH55" s="28">
        <v>2667.05</v>
      </c>
      <c r="AI55" s="29">
        <f>SUM(AH55-AG55)</f>
        <v>0</v>
      </c>
    </row>
    <row r="56" spans="1:35" s="39" customFormat="1" ht="23.25" customHeight="1">
      <c r="A56" s="23" t="s">
        <v>29</v>
      </c>
      <c r="B56" s="29">
        <v>105.59</v>
      </c>
      <c r="C56" s="24"/>
      <c r="D56" s="24"/>
      <c r="E56" s="24"/>
      <c r="F56" s="24"/>
      <c r="G56" s="24"/>
      <c r="H56" s="24"/>
      <c r="I56" s="24"/>
      <c r="J56" s="24"/>
      <c r="K56" s="80"/>
      <c r="L56" s="24"/>
      <c r="M56" s="24"/>
      <c r="N56" s="24"/>
      <c r="O56" s="24"/>
      <c r="P56" s="24"/>
      <c r="Q56" s="24"/>
      <c r="R56" s="24"/>
      <c r="S56" s="25"/>
      <c r="T56" s="25"/>
      <c r="U56" s="24"/>
      <c r="V56" s="24"/>
      <c r="W56" s="25"/>
      <c r="X56" s="24"/>
      <c r="Y56" s="24"/>
      <c r="Z56" s="25"/>
      <c r="AA56" s="25"/>
      <c r="AB56" s="25"/>
      <c r="AC56" s="25"/>
      <c r="AD56" s="25"/>
      <c r="AE56" s="26"/>
      <c r="AF56" s="27">
        <f>SUM(C56:AD56)+AE56</f>
        <v>0</v>
      </c>
      <c r="AG56" s="27">
        <f>B56+AF56</f>
        <v>105.59</v>
      </c>
      <c r="AH56" s="28">
        <v>105.59</v>
      </c>
      <c r="AI56" s="29">
        <f>SUM(AH56-AG56)</f>
        <v>0</v>
      </c>
    </row>
    <row r="57" spans="1:35" s="39" customFormat="1" ht="23.25" customHeight="1">
      <c r="A57" s="15" t="s">
        <v>8</v>
      </c>
      <c r="B57" s="31">
        <f>B55+B56+B53+B54</f>
        <v>2772.6400000000003</v>
      </c>
      <c r="C57" s="31">
        <f>SUM(C55:C56)</f>
        <v>0</v>
      </c>
      <c r="D57" s="31">
        <f>SUM(D55:D56)</f>
        <v>0</v>
      </c>
      <c r="E57" s="31">
        <f aca="true" t="shared" si="17" ref="E57:Z57">E55+E56</f>
        <v>0</v>
      </c>
      <c r="F57" s="31">
        <f t="shared" si="17"/>
        <v>0</v>
      </c>
      <c r="G57" s="31">
        <f t="shared" si="17"/>
        <v>0</v>
      </c>
      <c r="H57" s="31">
        <f t="shared" si="17"/>
        <v>0</v>
      </c>
      <c r="I57" s="31">
        <f t="shared" si="17"/>
        <v>0</v>
      </c>
      <c r="J57" s="31">
        <f t="shared" si="17"/>
        <v>0</v>
      </c>
      <c r="K57" s="31">
        <f>K55+K56+K53+K54</f>
        <v>2373.17</v>
      </c>
      <c r="L57" s="31">
        <f t="shared" si="17"/>
        <v>0</v>
      </c>
      <c r="M57" s="31">
        <f t="shared" si="17"/>
        <v>0</v>
      </c>
      <c r="N57" s="31">
        <f t="shared" si="17"/>
        <v>0</v>
      </c>
      <c r="O57" s="31">
        <f t="shared" si="17"/>
        <v>0</v>
      </c>
      <c r="P57" s="31">
        <f t="shared" si="17"/>
        <v>0</v>
      </c>
      <c r="Q57" s="31">
        <f t="shared" si="17"/>
        <v>0</v>
      </c>
      <c r="R57" s="31">
        <f t="shared" si="17"/>
        <v>0</v>
      </c>
      <c r="S57" s="31">
        <f t="shared" si="17"/>
        <v>0</v>
      </c>
      <c r="T57" s="31">
        <f t="shared" si="17"/>
        <v>0</v>
      </c>
      <c r="U57" s="31">
        <f t="shared" si="17"/>
        <v>0</v>
      </c>
      <c r="V57" s="31">
        <f t="shared" si="17"/>
        <v>0</v>
      </c>
      <c r="W57" s="31">
        <f t="shared" si="17"/>
        <v>0</v>
      </c>
      <c r="X57" s="31">
        <f t="shared" si="17"/>
        <v>0</v>
      </c>
      <c r="Y57" s="31">
        <f t="shared" si="17"/>
        <v>0</v>
      </c>
      <c r="Z57" s="32">
        <f t="shared" si="17"/>
        <v>0</v>
      </c>
      <c r="AA57" s="81">
        <f>AA53+AA54+AA55+AA56</f>
        <v>27903.01</v>
      </c>
      <c r="AB57" s="81">
        <f>AB53+AB54+AB55+AB56</f>
        <v>14521.63</v>
      </c>
      <c r="AC57" s="32">
        <f>AC55+AC56</f>
        <v>0</v>
      </c>
      <c r="AD57" s="32">
        <f>SUM(AD55:AD56)</f>
        <v>0</v>
      </c>
      <c r="AE57" s="33">
        <f>AE55+AE56</f>
        <v>0</v>
      </c>
      <c r="AF57" s="27">
        <f>AF55+AF56+AF54+AF53</f>
        <v>44797.81</v>
      </c>
      <c r="AG57" s="27">
        <f>AG55+AG56+AG54+AG53</f>
        <v>47570.45</v>
      </c>
      <c r="AH57" s="27">
        <f>AH55+AH56+AH54+AH53</f>
        <v>2772.6400000000003</v>
      </c>
      <c r="AI57" s="29">
        <f>AH57-AG57</f>
        <v>-44797.81</v>
      </c>
    </row>
    <row r="58" spans="1:35" s="39" customFormat="1" ht="15" customHeight="1">
      <c r="A58" s="82" t="s">
        <v>33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21"/>
      <c r="AH58" s="47"/>
      <c r="AI58" s="29"/>
    </row>
    <row r="59" spans="1:35" s="39" customFormat="1" ht="19.5" customHeight="1">
      <c r="A59" s="35" t="s">
        <v>25</v>
      </c>
      <c r="B59" s="36">
        <v>28280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40"/>
      <c r="AF59" s="27">
        <f>SUM(C59:AD59)</f>
        <v>0</v>
      </c>
      <c r="AG59" s="34">
        <f>B59+AF59</f>
        <v>28280</v>
      </c>
      <c r="AH59" s="47">
        <v>31500</v>
      </c>
      <c r="AI59" s="29">
        <f>AH59-AG59</f>
        <v>3220</v>
      </c>
    </row>
    <row r="60" spans="1:35" s="39" customFormat="1" ht="18" customHeight="1">
      <c r="A60" s="12" t="s">
        <v>8</v>
      </c>
      <c r="B60" s="46">
        <f aca="true" t="shared" si="18" ref="B60:Z60">B59</f>
        <v>28280</v>
      </c>
      <c r="C60" s="43">
        <f t="shared" si="18"/>
        <v>0</v>
      </c>
      <c r="D60" s="43">
        <f t="shared" si="18"/>
        <v>0</v>
      </c>
      <c r="E60" s="43">
        <f>E59</f>
        <v>0</v>
      </c>
      <c r="F60" s="43">
        <f>F59</f>
        <v>0</v>
      </c>
      <c r="G60" s="43">
        <f t="shared" si="18"/>
        <v>0</v>
      </c>
      <c r="H60" s="43">
        <f t="shared" si="18"/>
        <v>0</v>
      </c>
      <c r="I60" s="43">
        <f t="shared" si="18"/>
        <v>0</v>
      </c>
      <c r="J60" s="43">
        <f t="shared" si="18"/>
        <v>0</v>
      </c>
      <c r="K60" s="43">
        <f t="shared" si="18"/>
        <v>0</v>
      </c>
      <c r="L60" s="43">
        <f t="shared" si="18"/>
        <v>0</v>
      </c>
      <c r="M60" s="43">
        <f t="shared" si="18"/>
        <v>0</v>
      </c>
      <c r="N60" s="43">
        <f t="shared" si="18"/>
        <v>0</v>
      </c>
      <c r="O60" s="43">
        <f t="shared" si="18"/>
        <v>0</v>
      </c>
      <c r="P60" s="43">
        <f t="shared" si="18"/>
        <v>0</v>
      </c>
      <c r="Q60" s="43">
        <f t="shared" si="18"/>
        <v>0</v>
      </c>
      <c r="R60" s="43">
        <f t="shared" si="18"/>
        <v>0</v>
      </c>
      <c r="S60" s="43">
        <f t="shared" si="18"/>
        <v>0</v>
      </c>
      <c r="T60" s="43">
        <f t="shared" si="18"/>
        <v>0</v>
      </c>
      <c r="U60" s="43">
        <f t="shared" si="18"/>
        <v>0</v>
      </c>
      <c r="V60" s="43">
        <f t="shared" si="18"/>
        <v>0</v>
      </c>
      <c r="W60" s="43">
        <f t="shared" si="18"/>
        <v>0</v>
      </c>
      <c r="X60" s="43">
        <f t="shared" si="18"/>
        <v>0</v>
      </c>
      <c r="Y60" s="43">
        <f t="shared" si="18"/>
        <v>0</v>
      </c>
      <c r="Z60" s="43">
        <f t="shared" si="18"/>
        <v>0</v>
      </c>
      <c r="AA60" s="38"/>
      <c r="AB60" s="38"/>
      <c r="AC60" s="43">
        <f>AC59</f>
        <v>0</v>
      </c>
      <c r="AD60" s="38"/>
      <c r="AE60" s="40"/>
      <c r="AF60" s="27">
        <f>SUM(AF59)</f>
        <v>0</v>
      </c>
      <c r="AG60" s="34">
        <f>AG59</f>
        <v>28280</v>
      </c>
      <c r="AH60" s="34">
        <f>AH59</f>
        <v>31500</v>
      </c>
      <c r="AI60" s="29">
        <f>AH60-AG60</f>
        <v>3220</v>
      </c>
    </row>
    <row r="61" spans="1:35" s="39" customFormat="1" ht="15" customHeight="1">
      <c r="A61" s="82" t="s">
        <v>34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21"/>
      <c r="AH61" s="47"/>
      <c r="AI61" s="29"/>
    </row>
    <row r="62" spans="1:35" s="39" customFormat="1" ht="17.25" customHeight="1">
      <c r="A62" s="15" t="s">
        <v>35</v>
      </c>
      <c r="B62" s="21" t="s">
        <v>88</v>
      </c>
      <c r="C62" s="57"/>
      <c r="D62" s="21"/>
      <c r="E62" s="21"/>
      <c r="F62" s="15"/>
      <c r="G62" s="21"/>
      <c r="H62" s="38"/>
      <c r="I62" s="38"/>
      <c r="J62" s="15"/>
      <c r="K62" s="38"/>
      <c r="L62" s="15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 t="s">
        <v>105</v>
      </c>
      <c r="Z62" s="15"/>
      <c r="AA62" s="21"/>
      <c r="AB62" s="21"/>
      <c r="AC62" s="21"/>
      <c r="AD62" s="21"/>
      <c r="AE62" s="21"/>
      <c r="AF62" s="27">
        <f>C62+D62+E62+F62+Y62</f>
        <v>120000</v>
      </c>
      <c r="AG62" s="34">
        <f>B62+AF62</f>
        <v>160242.56</v>
      </c>
      <c r="AH62" s="47">
        <v>160340</v>
      </c>
      <c r="AI62" s="29">
        <f>SUM(AH62-AG62)</f>
        <v>97.44000000000233</v>
      </c>
    </row>
    <row r="63" spans="1:35" s="39" customFormat="1" ht="18" customHeight="1">
      <c r="A63" s="35" t="s">
        <v>31</v>
      </c>
      <c r="B63" s="3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40"/>
      <c r="AF63" s="27">
        <f>SUM(C63:AD63)+AE63</f>
        <v>0</v>
      </c>
      <c r="AG63" s="34">
        <f>B63+AF63</f>
        <v>0</v>
      </c>
      <c r="AH63" s="47">
        <v>6900</v>
      </c>
      <c r="AI63" s="29">
        <f>SUM(AH63-AG63)</f>
        <v>6900</v>
      </c>
    </row>
    <row r="64" spans="1:35" s="39" customFormat="1" ht="15" customHeight="1" hidden="1">
      <c r="A64" s="35" t="s">
        <v>30</v>
      </c>
      <c r="B64" s="3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40"/>
      <c r="AF64" s="27">
        <f>SUM(C64:AD64)</f>
        <v>0</v>
      </c>
      <c r="AG64" s="34">
        <f>B64+AF64</f>
        <v>0</v>
      </c>
      <c r="AH64" s="47"/>
      <c r="AI64" s="29"/>
    </row>
    <row r="65" spans="1:35" s="39" customFormat="1" ht="15" customHeight="1" hidden="1">
      <c r="A65" s="35" t="s">
        <v>36</v>
      </c>
      <c r="B65" s="3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40"/>
      <c r="AF65" s="27">
        <f>SUM(C65:AD65)</f>
        <v>0</v>
      </c>
      <c r="AG65" s="34">
        <f>B65+AF65</f>
        <v>0</v>
      </c>
      <c r="AH65" s="47"/>
      <c r="AI65" s="29"/>
    </row>
    <row r="66" spans="1:35" s="39" customFormat="1" ht="18.75" customHeight="1">
      <c r="A66" s="35" t="s">
        <v>36</v>
      </c>
      <c r="B66" s="36">
        <v>2060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40"/>
      <c r="AF66" s="27">
        <f>SUM(C66:AD66)+AE66</f>
        <v>0</v>
      </c>
      <c r="AG66" s="34">
        <f>B66+AF66</f>
        <v>2060</v>
      </c>
      <c r="AH66" s="48">
        <v>2060</v>
      </c>
      <c r="AI66" s="29">
        <f>SUM(AH66-AG66)</f>
        <v>0</v>
      </c>
    </row>
    <row r="67" spans="1:35" s="39" customFormat="1" ht="19.5" customHeight="1">
      <c r="A67" s="12" t="s">
        <v>8</v>
      </c>
      <c r="B67" s="46">
        <f>B62+B63+B66</f>
        <v>42302.56</v>
      </c>
      <c r="C67" s="46">
        <f>C63+C65+C62+C66</f>
        <v>0</v>
      </c>
      <c r="D67" s="46">
        <f aca="true" t="shared" si="19" ref="D67:X67">D63+D65</f>
        <v>0</v>
      </c>
      <c r="E67" s="46">
        <f t="shared" si="19"/>
        <v>0</v>
      </c>
      <c r="F67" s="46">
        <f>F62+F63+F66</f>
        <v>0</v>
      </c>
      <c r="G67" s="46">
        <f t="shared" si="19"/>
        <v>0</v>
      </c>
      <c r="H67" s="46">
        <f>H62+H63+H66</f>
        <v>0</v>
      </c>
      <c r="I67" s="46">
        <f>I62+I63</f>
        <v>0</v>
      </c>
      <c r="J67" s="46">
        <f>J63+J65+J66</f>
        <v>0</v>
      </c>
      <c r="K67" s="46">
        <f>K62+K63+K66</f>
        <v>0</v>
      </c>
      <c r="L67" s="46">
        <f t="shared" si="19"/>
        <v>0</v>
      </c>
      <c r="M67" s="46">
        <f t="shared" si="19"/>
        <v>0</v>
      </c>
      <c r="N67" s="46">
        <f t="shared" si="19"/>
        <v>0</v>
      </c>
      <c r="O67" s="46">
        <f t="shared" si="19"/>
        <v>0</v>
      </c>
      <c r="P67" s="46">
        <f t="shared" si="19"/>
        <v>0</v>
      </c>
      <c r="Q67" s="46">
        <f t="shared" si="19"/>
        <v>0</v>
      </c>
      <c r="R67" s="46">
        <f t="shared" si="19"/>
        <v>0</v>
      </c>
      <c r="S67" s="46">
        <f t="shared" si="19"/>
        <v>0</v>
      </c>
      <c r="T67" s="46">
        <f t="shared" si="19"/>
        <v>0</v>
      </c>
      <c r="U67" s="46">
        <f t="shared" si="19"/>
        <v>0</v>
      </c>
      <c r="V67" s="46">
        <f t="shared" si="19"/>
        <v>0</v>
      </c>
      <c r="W67" s="46">
        <f t="shared" si="19"/>
        <v>0</v>
      </c>
      <c r="X67" s="46">
        <f t="shared" si="19"/>
        <v>0</v>
      </c>
      <c r="Y67" s="46">
        <f>Y63+Y65+Y62</f>
        <v>120000</v>
      </c>
      <c r="Z67" s="52"/>
      <c r="AA67" s="52"/>
      <c r="AB67" s="52"/>
      <c r="AC67" s="52"/>
      <c r="AD67" s="52"/>
      <c r="AE67" s="53"/>
      <c r="AF67" s="34">
        <f>AF62+AF63+AF66</f>
        <v>120000</v>
      </c>
      <c r="AG67" s="34">
        <f>AG62+AG63+AG66</f>
        <v>162302.56</v>
      </c>
      <c r="AH67" s="34">
        <f>AH62+AH63+AH66</f>
        <v>169300</v>
      </c>
      <c r="AI67" s="29">
        <f>AH67-AG67</f>
        <v>6997.440000000002</v>
      </c>
    </row>
    <row r="68" spans="1:35" s="39" customFormat="1" ht="15" customHeight="1" hidden="1">
      <c r="A68" s="82" t="s">
        <v>37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21"/>
      <c r="AH68" s="47"/>
      <c r="AI68" s="29"/>
    </row>
    <row r="69" spans="1:35" s="39" customFormat="1" ht="15" customHeight="1" hidden="1">
      <c r="A69" s="35" t="s">
        <v>36</v>
      </c>
      <c r="B69" s="3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3"/>
      <c r="AF69" s="34">
        <f>SUM(C69:AD69)</f>
        <v>0</v>
      </c>
      <c r="AG69" s="34">
        <f>B69+AF69</f>
        <v>0</v>
      </c>
      <c r="AH69" s="54"/>
      <c r="AI69" s="29"/>
    </row>
    <row r="70" spans="1:35" s="39" customFormat="1" ht="15" customHeight="1" hidden="1">
      <c r="A70" s="12" t="s">
        <v>8</v>
      </c>
      <c r="B70" s="46">
        <f aca="true" t="shared" si="20" ref="B70:X70">B69</f>
        <v>0</v>
      </c>
      <c r="C70" s="46">
        <f t="shared" si="20"/>
        <v>0</v>
      </c>
      <c r="D70" s="46">
        <f t="shared" si="20"/>
        <v>0</v>
      </c>
      <c r="E70" s="46">
        <f t="shared" si="20"/>
        <v>0</v>
      </c>
      <c r="F70" s="46">
        <f t="shared" si="20"/>
        <v>0</v>
      </c>
      <c r="G70" s="46">
        <f t="shared" si="20"/>
        <v>0</v>
      </c>
      <c r="H70" s="46">
        <f t="shared" si="20"/>
        <v>0</v>
      </c>
      <c r="I70" s="46">
        <f t="shared" si="20"/>
        <v>0</v>
      </c>
      <c r="J70" s="46">
        <f t="shared" si="20"/>
        <v>0</v>
      </c>
      <c r="K70" s="46">
        <f t="shared" si="20"/>
        <v>0</v>
      </c>
      <c r="L70" s="46">
        <f t="shared" si="20"/>
        <v>0</v>
      </c>
      <c r="M70" s="46">
        <f t="shared" si="20"/>
        <v>0</v>
      </c>
      <c r="N70" s="46">
        <f t="shared" si="20"/>
        <v>0</v>
      </c>
      <c r="O70" s="46">
        <f t="shared" si="20"/>
        <v>0</v>
      </c>
      <c r="P70" s="46">
        <f t="shared" si="20"/>
        <v>0</v>
      </c>
      <c r="Q70" s="46">
        <f t="shared" si="20"/>
        <v>0</v>
      </c>
      <c r="R70" s="46">
        <f t="shared" si="20"/>
        <v>0</v>
      </c>
      <c r="S70" s="46">
        <f t="shared" si="20"/>
        <v>0</v>
      </c>
      <c r="T70" s="46">
        <f t="shared" si="20"/>
        <v>0</v>
      </c>
      <c r="U70" s="46">
        <f t="shared" si="20"/>
        <v>0</v>
      </c>
      <c r="V70" s="46">
        <f t="shared" si="20"/>
        <v>0</v>
      </c>
      <c r="W70" s="46">
        <f t="shared" si="20"/>
        <v>0</v>
      </c>
      <c r="X70" s="46">
        <f t="shared" si="20"/>
        <v>0</v>
      </c>
      <c r="Y70" s="52"/>
      <c r="Z70" s="52"/>
      <c r="AA70" s="52"/>
      <c r="AB70" s="52"/>
      <c r="AC70" s="52"/>
      <c r="AD70" s="52"/>
      <c r="AE70" s="53"/>
      <c r="AF70" s="34">
        <f>C70+D70+F70+J70+O70+Q70+R70+S70+T70+U70+V70+W70+Y70+AD70+X70</f>
        <v>0</v>
      </c>
      <c r="AG70" s="34">
        <f>AG69</f>
        <v>0</v>
      </c>
      <c r="AH70" s="34">
        <f>AH69</f>
        <v>0</v>
      </c>
      <c r="AI70" s="29">
        <f>AH70-AG70</f>
        <v>0</v>
      </c>
    </row>
    <row r="71" spans="1:35" s="39" customFormat="1" ht="18.75" customHeight="1">
      <c r="A71" s="82" t="s">
        <v>38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21"/>
      <c r="AH71" s="47"/>
      <c r="AI71" s="29"/>
    </row>
    <row r="72" spans="1:35" s="39" customFormat="1" ht="18.75" customHeight="1">
      <c r="A72" s="35" t="s">
        <v>25</v>
      </c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40"/>
      <c r="AF72" s="27">
        <f>SUM(C72:AD72)</f>
        <v>0</v>
      </c>
      <c r="AG72" s="34">
        <f>B72+AF72</f>
        <v>0</v>
      </c>
      <c r="AH72" s="54">
        <v>0</v>
      </c>
      <c r="AI72" s="29">
        <f>SUM(AH72-AG72)</f>
        <v>0</v>
      </c>
    </row>
    <row r="73" spans="1:35" s="39" customFormat="1" ht="18.75" customHeight="1">
      <c r="A73" s="35" t="s">
        <v>43</v>
      </c>
      <c r="B73" s="36">
        <v>56000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40"/>
      <c r="AF73" s="27">
        <f>SUM(C73:AD73)</f>
        <v>0</v>
      </c>
      <c r="AG73" s="34">
        <f>B73+AF73</f>
        <v>56000</v>
      </c>
      <c r="AH73" s="50">
        <v>56000</v>
      </c>
      <c r="AI73" s="29">
        <f>SUM(AH73-AG73)</f>
        <v>0</v>
      </c>
    </row>
    <row r="74" spans="1:35" s="39" customFormat="1" ht="18.75" customHeight="1">
      <c r="A74" s="35" t="s">
        <v>27</v>
      </c>
      <c r="B74" s="36">
        <v>13960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40"/>
      <c r="AF74" s="27">
        <f>SUM(C74:AD74)</f>
        <v>0</v>
      </c>
      <c r="AG74" s="34">
        <f>B74+AF74</f>
        <v>13960</v>
      </c>
      <c r="AH74" s="50">
        <v>19000</v>
      </c>
      <c r="AI74" s="29">
        <f>SUM(AH74-AG74)</f>
        <v>5040</v>
      </c>
    </row>
    <row r="75" spans="1:35" s="39" customFormat="1" ht="20.25" customHeight="1">
      <c r="A75" s="12" t="s">
        <v>8</v>
      </c>
      <c r="B75" s="36">
        <f>B72+B74+B73</f>
        <v>69960</v>
      </c>
      <c r="C75" s="36">
        <f aca="true" t="shared" si="21" ref="C75:X75">C72</f>
        <v>0</v>
      </c>
      <c r="D75" s="36">
        <f t="shared" si="21"/>
        <v>0</v>
      </c>
      <c r="E75" s="36">
        <f>E72+E74</f>
        <v>0</v>
      </c>
      <c r="F75" s="36">
        <f t="shared" si="21"/>
        <v>0</v>
      </c>
      <c r="G75" s="36">
        <f>G72+G73+G74</f>
        <v>0</v>
      </c>
      <c r="H75" s="36">
        <f t="shared" si="21"/>
        <v>0</v>
      </c>
      <c r="I75" s="36">
        <f t="shared" si="21"/>
        <v>0</v>
      </c>
      <c r="J75" s="36">
        <f t="shared" si="21"/>
        <v>0</v>
      </c>
      <c r="K75" s="36">
        <f t="shared" si="21"/>
        <v>0</v>
      </c>
      <c r="L75" s="36">
        <f t="shared" si="21"/>
        <v>0</v>
      </c>
      <c r="M75" s="36">
        <f t="shared" si="21"/>
        <v>0</v>
      </c>
      <c r="N75" s="36">
        <f t="shared" si="21"/>
        <v>0</v>
      </c>
      <c r="O75" s="36">
        <f t="shared" si="21"/>
        <v>0</v>
      </c>
      <c r="P75" s="36">
        <f t="shared" si="21"/>
        <v>0</v>
      </c>
      <c r="Q75" s="36">
        <f t="shared" si="21"/>
        <v>0</v>
      </c>
      <c r="R75" s="36">
        <f t="shared" si="21"/>
        <v>0</v>
      </c>
      <c r="S75" s="36">
        <f t="shared" si="21"/>
        <v>0</v>
      </c>
      <c r="T75" s="36">
        <f t="shared" si="21"/>
        <v>0</v>
      </c>
      <c r="U75" s="36">
        <f t="shared" si="21"/>
        <v>0</v>
      </c>
      <c r="V75" s="36">
        <f t="shared" si="21"/>
        <v>0</v>
      </c>
      <c r="W75" s="36">
        <f t="shared" si="21"/>
        <v>0</v>
      </c>
      <c r="X75" s="36">
        <f t="shared" si="21"/>
        <v>0</v>
      </c>
      <c r="Y75" s="38"/>
      <c r="Z75" s="38"/>
      <c r="AA75" s="38"/>
      <c r="AB75" s="38"/>
      <c r="AC75" s="38"/>
      <c r="AD75" s="38"/>
      <c r="AE75" s="40">
        <f>AE72</f>
        <v>0</v>
      </c>
      <c r="AF75" s="27">
        <f>AF72+AF74+AF73</f>
        <v>0</v>
      </c>
      <c r="AG75" s="34">
        <f>AG72+AG74+AG73</f>
        <v>69960</v>
      </c>
      <c r="AH75" s="34">
        <f>AH72+AH74+AH73</f>
        <v>75000</v>
      </c>
      <c r="AI75" s="29">
        <f>AH75-AG75</f>
        <v>5040</v>
      </c>
    </row>
    <row r="76" spans="1:35" s="39" customFormat="1" ht="15" customHeight="1" hidden="1">
      <c r="A76" s="82" t="s">
        <v>39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21"/>
      <c r="AH76" s="51"/>
      <c r="AI76" s="55"/>
    </row>
    <row r="77" spans="1:35" s="39" customFormat="1" ht="15" customHeight="1" hidden="1">
      <c r="A77" s="35" t="s">
        <v>40</v>
      </c>
      <c r="B77" s="3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40"/>
      <c r="AF77" s="27">
        <f>SUM(C77:AD77)</f>
        <v>0</v>
      </c>
      <c r="AG77" s="34">
        <f>B77+AF77</f>
        <v>0</v>
      </c>
      <c r="AH77" s="51"/>
      <c r="AI77" s="29"/>
    </row>
    <row r="78" spans="1:42" s="39" customFormat="1" ht="15" customHeight="1" hidden="1">
      <c r="A78" s="12" t="s">
        <v>8</v>
      </c>
      <c r="B78" s="36">
        <f aca="true" t="shared" si="22" ref="B78:X78">B77</f>
        <v>0</v>
      </c>
      <c r="C78" s="36">
        <f t="shared" si="22"/>
        <v>0</v>
      </c>
      <c r="D78" s="36">
        <f t="shared" si="22"/>
        <v>0</v>
      </c>
      <c r="E78" s="36">
        <f t="shared" si="22"/>
        <v>0</v>
      </c>
      <c r="F78" s="36">
        <f t="shared" si="22"/>
        <v>0</v>
      </c>
      <c r="G78" s="36">
        <f t="shared" si="22"/>
        <v>0</v>
      </c>
      <c r="H78" s="36">
        <f t="shared" si="22"/>
        <v>0</v>
      </c>
      <c r="I78" s="36">
        <f t="shared" si="22"/>
        <v>0</v>
      </c>
      <c r="J78" s="36">
        <f t="shared" si="22"/>
        <v>0</v>
      </c>
      <c r="K78" s="36">
        <f t="shared" si="22"/>
        <v>0</v>
      </c>
      <c r="L78" s="36">
        <f t="shared" si="22"/>
        <v>0</v>
      </c>
      <c r="M78" s="36">
        <f t="shared" si="22"/>
        <v>0</v>
      </c>
      <c r="N78" s="36">
        <f t="shared" si="22"/>
        <v>0</v>
      </c>
      <c r="O78" s="36">
        <f t="shared" si="22"/>
        <v>0</v>
      </c>
      <c r="P78" s="36">
        <f t="shared" si="22"/>
        <v>0</v>
      </c>
      <c r="Q78" s="36">
        <f t="shared" si="22"/>
        <v>0</v>
      </c>
      <c r="R78" s="36">
        <f t="shared" si="22"/>
        <v>0</v>
      </c>
      <c r="S78" s="36">
        <f t="shared" si="22"/>
        <v>0</v>
      </c>
      <c r="T78" s="36">
        <f t="shared" si="22"/>
        <v>0</v>
      </c>
      <c r="U78" s="36">
        <f t="shared" si="22"/>
        <v>0</v>
      </c>
      <c r="V78" s="36">
        <f t="shared" si="22"/>
        <v>0</v>
      </c>
      <c r="W78" s="36">
        <f t="shared" si="22"/>
        <v>0</v>
      </c>
      <c r="X78" s="36">
        <f t="shared" si="22"/>
        <v>0</v>
      </c>
      <c r="Y78" s="38"/>
      <c r="Z78" s="38"/>
      <c r="AA78" s="38"/>
      <c r="AB78" s="38"/>
      <c r="AC78" s="38"/>
      <c r="AD78" s="38"/>
      <c r="AE78" s="38"/>
      <c r="AF78" s="36">
        <f>AF77</f>
        <v>0</v>
      </c>
      <c r="AG78" s="36">
        <f>AG77</f>
        <v>0</v>
      </c>
      <c r="AH78" s="36">
        <f>AH77</f>
        <v>0</v>
      </c>
      <c r="AI78" s="29">
        <f>AH78-AG78</f>
        <v>0</v>
      </c>
      <c r="AP78" s="56"/>
    </row>
    <row r="79" spans="1:42" s="39" customFormat="1" ht="15" customHeight="1">
      <c r="A79" s="82" t="s">
        <v>92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21"/>
      <c r="AH79" s="51"/>
      <c r="AI79" s="55"/>
      <c r="AP79" s="56"/>
    </row>
    <row r="80" spans="1:42" s="39" customFormat="1" ht="20.25" customHeight="1">
      <c r="A80" s="35" t="s">
        <v>78</v>
      </c>
      <c r="B80" s="36">
        <v>59500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>
        <v>0</v>
      </c>
      <c r="AA80" s="38"/>
      <c r="AB80" s="38"/>
      <c r="AC80" s="38"/>
      <c r="AD80" s="38"/>
      <c r="AE80" s="40"/>
      <c r="AF80" s="27">
        <f>SUM(C80:AD80)</f>
        <v>0</v>
      </c>
      <c r="AG80" s="34">
        <f>B80+AF80</f>
        <v>59500</v>
      </c>
      <c r="AH80" s="51">
        <v>59500</v>
      </c>
      <c r="AI80" s="29">
        <f>SUM(AH80-AG80)</f>
        <v>0</v>
      </c>
      <c r="AP80" s="56"/>
    </row>
    <row r="81" spans="1:42" s="39" customFormat="1" ht="17.25" customHeight="1">
      <c r="A81" s="12" t="s">
        <v>8</v>
      </c>
      <c r="B81" s="46">
        <f>B80</f>
        <v>59500</v>
      </c>
      <c r="C81" s="43">
        <f>C80</f>
        <v>0</v>
      </c>
      <c r="D81" s="43">
        <f aca="true" t="shared" si="23" ref="D81:X81">D80</f>
        <v>0</v>
      </c>
      <c r="E81" s="43">
        <f t="shared" si="23"/>
        <v>0</v>
      </c>
      <c r="F81" s="43">
        <f t="shared" si="23"/>
        <v>0</v>
      </c>
      <c r="G81" s="43">
        <f t="shared" si="23"/>
        <v>0</v>
      </c>
      <c r="H81" s="43">
        <f t="shared" si="23"/>
        <v>0</v>
      </c>
      <c r="I81" s="43">
        <f t="shared" si="23"/>
        <v>0</v>
      </c>
      <c r="J81" s="43">
        <f t="shared" si="23"/>
        <v>0</v>
      </c>
      <c r="K81" s="43">
        <f t="shared" si="23"/>
        <v>0</v>
      </c>
      <c r="L81" s="43">
        <f t="shared" si="23"/>
        <v>0</v>
      </c>
      <c r="M81" s="43">
        <f t="shared" si="23"/>
        <v>0</v>
      </c>
      <c r="N81" s="43">
        <f t="shared" si="23"/>
        <v>0</v>
      </c>
      <c r="O81" s="43">
        <f t="shared" si="23"/>
        <v>0</v>
      </c>
      <c r="P81" s="43">
        <f t="shared" si="23"/>
        <v>0</v>
      </c>
      <c r="Q81" s="43">
        <f t="shared" si="23"/>
        <v>0</v>
      </c>
      <c r="R81" s="43">
        <f t="shared" si="23"/>
        <v>0</v>
      </c>
      <c r="S81" s="43">
        <f t="shared" si="23"/>
        <v>0</v>
      </c>
      <c r="T81" s="43">
        <f t="shared" si="23"/>
        <v>0</v>
      </c>
      <c r="U81" s="43">
        <f t="shared" si="23"/>
        <v>0</v>
      </c>
      <c r="V81" s="43">
        <f t="shared" si="23"/>
        <v>0</v>
      </c>
      <c r="W81" s="43">
        <f t="shared" si="23"/>
        <v>0</v>
      </c>
      <c r="X81" s="43">
        <f t="shared" si="23"/>
        <v>0</v>
      </c>
      <c r="Y81" s="43"/>
      <c r="Z81" s="43">
        <f>Z80</f>
        <v>0</v>
      </c>
      <c r="AA81" s="43">
        <f>AA80</f>
        <v>0</v>
      </c>
      <c r="AB81" s="43">
        <f>AB80</f>
        <v>0</v>
      </c>
      <c r="AC81" s="43"/>
      <c r="AD81" s="43"/>
      <c r="AE81" s="44"/>
      <c r="AF81" s="27">
        <f>SUM(C81:AD81)</f>
        <v>0</v>
      </c>
      <c r="AG81" s="34">
        <f>AG80</f>
        <v>59500</v>
      </c>
      <c r="AH81" s="34">
        <f>AH80</f>
        <v>59500</v>
      </c>
      <c r="AI81" s="29">
        <f>AH81-AG81</f>
        <v>0</v>
      </c>
      <c r="AP81" s="56"/>
    </row>
    <row r="82" spans="1:42" s="39" customFormat="1" ht="15" customHeight="1">
      <c r="A82" s="82" t="s">
        <v>79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21"/>
      <c r="AH82" s="51"/>
      <c r="AI82" s="55"/>
      <c r="AP82" s="56"/>
    </row>
    <row r="83" spans="1:42" s="39" customFormat="1" ht="15" customHeight="1">
      <c r="A83" s="35" t="s">
        <v>80</v>
      </c>
      <c r="B83" s="36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>
        <v>0</v>
      </c>
      <c r="AA83" s="38"/>
      <c r="AB83" s="38"/>
      <c r="AC83" s="38"/>
      <c r="AD83" s="38"/>
      <c r="AE83" s="40"/>
      <c r="AF83" s="27">
        <f>SUM(C83:AD83)</f>
        <v>0</v>
      </c>
      <c r="AG83" s="34">
        <f>B83+AF83</f>
        <v>0</v>
      </c>
      <c r="AH83" s="51">
        <v>20000</v>
      </c>
      <c r="AI83" s="29">
        <f>SUM(AH83-AG83)</f>
        <v>20000</v>
      </c>
      <c r="AP83" s="56"/>
    </row>
    <row r="84" spans="1:42" s="39" customFormat="1" ht="15" customHeight="1">
      <c r="A84" s="12" t="s">
        <v>8</v>
      </c>
      <c r="B84" s="46">
        <f>B83</f>
        <v>0</v>
      </c>
      <c r="C84" s="43">
        <f>C83</f>
        <v>0</v>
      </c>
      <c r="D84" s="43">
        <f aca="true" t="shared" si="24" ref="D84:X84">D83</f>
        <v>0</v>
      </c>
      <c r="E84" s="43">
        <f t="shared" si="24"/>
        <v>0</v>
      </c>
      <c r="F84" s="43">
        <f t="shared" si="24"/>
        <v>0</v>
      </c>
      <c r="G84" s="43">
        <f t="shared" si="24"/>
        <v>0</v>
      </c>
      <c r="H84" s="43">
        <f t="shared" si="24"/>
        <v>0</v>
      </c>
      <c r="I84" s="43">
        <f t="shared" si="24"/>
        <v>0</v>
      </c>
      <c r="J84" s="43">
        <f t="shared" si="24"/>
        <v>0</v>
      </c>
      <c r="K84" s="43">
        <f t="shared" si="24"/>
        <v>0</v>
      </c>
      <c r="L84" s="43">
        <f t="shared" si="24"/>
        <v>0</v>
      </c>
      <c r="M84" s="43">
        <f t="shared" si="24"/>
        <v>0</v>
      </c>
      <c r="N84" s="43">
        <f t="shared" si="24"/>
        <v>0</v>
      </c>
      <c r="O84" s="43">
        <f t="shared" si="24"/>
        <v>0</v>
      </c>
      <c r="P84" s="43">
        <f t="shared" si="24"/>
        <v>0</v>
      </c>
      <c r="Q84" s="43">
        <f t="shared" si="24"/>
        <v>0</v>
      </c>
      <c r="R84" s="43">
        <f t="shared" si="24"/>
        <v>0</v>
      </c>
      <c r="S84" s="43">
        <f t="shared" si="24"/>
        <v>0</v>
      </c>
      <c r="T84" s="43">
        <f t="shared" si="24"/>
        <v>0</v>
      </c>
      <c r="U84" s="43">
        <f t="shared" si="24"/>
        <v>0</v>
      </c>
      <c r="V84" s="43">
        <f t="shared" si="24"/>
        <v>0</v>
      </c>
      <c r="W84" s="43">
        <f t="shared" si="24"/>
        <v>0</v>
      </c>
      <c r="X84" s="43">
        <f t="shared" si="24"/>
        <v>0</v>
      </c>
      <c r="Y84" s="43"/>
      <c r="Z84" s="43">
        <f>Z83</f>
        <v>0</v>
      </c>
      <c r="AA84" s="43">
        <f>AA83</f>
        <v>0</v>
      </c>
      <c r="AB84" s="43"/>
      <c r="AC84" s="43"/>
      <c r="AD84" s="43"/>
      <c r="AE84" s="44"/>
      <c r="AF84" s="27">
        <f>SUM(C84:AD84)</f>
        <v>0</v>
      </c>
      <c r="AG84" s="34">
        <f>AG83</f>
        <v>0</v>
      </c>
      <c r="AH84" s="34">
        <f>AH83</f>
        <v>20000</v>
      </c>
      <c r="AI84" s="29">
        <f>AH84-AG84</f>
        <v>20000</v>
      </c>
      <c r="AP84" s="56"/>
    </row>
    <row r="85" spans="1:42" s="39" customFormat="1" ht="15" customHeight="1">
      <c r="A85" s="82" t="s">
        <v>42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21"/>
      <c r="AH85" s="51"/>
      <c r="AI85" s="55"/>
      <c r="AP85" s="56"/>
    </row>
    <row r="86" spans="1:42" s="39" customFormat="1" ht="16.5" customHeight="1">
      <c r="A86" s="35" t="s">
        <v>43</v>
      </c>
      <c r="B86" s="36">
        <v>95040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v>0</v>
      </c>
      <c r="AA86" s="38"/>
      <c r="AB86" s="38"/>
      <c r="AC86" s="38"/>
      <c r="AD86" s="38"/>
      <c r="AE86" s="40"/>
      <c r="AF86" s="27">
        <f>SUM(C86:AD86)</f>
        <v>0</v>
      </c>
      <c r="AG86" s="34">
        <f>B86+AF86</f>
        <v>95040</v>
      </c>
      <c r="AH86" s="51">
        <v>95100</v>
      </c>
      <c r="AI86" s="29">
        <f>SUM(AH86-AG86)</f>
        <v>60</v>
      </c>
      <c r="AP86" s="56"/>
    </row>
    <row r="87" spans="1:42" s="39" customFormat="1" ht="17.25" customHeight="1">
      <c r="A87" s="35" t="s">
        <v>27</v>
      </c>
      <c r="B87" s="36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>
        <v>0</v>
      </c>
      <c r="AA87" s="38"/>
      <c r="AB87" s="38"/>
      <c r="AC87" s="38"/>
      <c r="AD87" s="38"/>
      <c r="AE87" s="40"/>
      <c r="AF87" s="27">
        <f>SUM(C87:AD87)</f>
        <v>0</v>
      </c>
      <c r="AG87" s="34">
        <f>B87+AF87</f>
        <v>0</v>
      </c>
      <c r="AH87" s="51"/>
      <c r="AI87" s="29">
        <f>SUM(AH87-AG87)</f>
        <v>0</v>
      </c>
      <c r="AP87" s="56"/>
    </row>
    <row r="88" spans="1:42" s="39" customFormat="1" ht="17.25" customHeight="1">
      <c r="A88" s="35" t="s">
        <v>24</v>
      </c>
      <c r="B88" s="36">
        <v>87167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40"/>
      <c r="AF88" s="27">
        <f>SUM(C88:AD88)</f>
        <v>0</v>
      </c>
      <c r="AG88" s="34">
        <f>B88+AF88</f>
        <v>87167</v>
      </c>
      <c r="AH88" s="51">
        <v>137200</v>
      </c>
      <c r="AI88" s="29">
        <f>SUM(AH88-AG88)</f>
        <v>50033</v>
      </c>
      <c r="AP88" s="56"/>
    </row>
    <row r="89" spans="1:42" s="39" customFormat="1" ht="17.25" customHeight="1">
      <c r="A89" s="35" t="s">
        <v>25</v>
      </c>
      <c r="B89" s="36">
        <v>1822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73"/>
      <c r="AB89" s="73"/>
      <c r="AC89" s="38"/>
      <c r="AD89" s="38"/>
      <c r="AE89" s="40"/>
      <c r="AF89" s="27">
        <f>SUM(C89:AD89)</f>
        <v>0</v>
      </c>
      <c r="AG89" s="34">
        <f>B89+AF89</f>
        <v>1822</v>
      </c>
      <c r="AH89" s="51">
        <v>6900</v>
      </c>
      <c r="AI89" s="29">
        <f>SUM(AH89-AG89)</f>
        <v>5078</v>
      </c>
      <c r="AP89" s="56"/>
    </row>
    <row r="90" spans="1:42" s="39" customFormat="1" ht="18" customHeight="1">
      <c r="A90" s="12" t="s">
        <v>8</v>
      </c>
      <c r="B90" s="46">
        <f>B87+B86+B89+B88</f>
        <v>184029</v>
      </c>
      <c r="C90" s="43">
        <f>C87</f>
        <v>0</v>
      </c>
      <c r="D90" s="43">
        <f>D87</f>
        <v>0</v>
      </c>
      <c r="E90" s="43">
        <f>E86</f>
        <v>0</v>
      </c>
      <c r="F90" s="43">
        <f>F87+F86+F89</f>
        <v>0</v>
      </c>
      <c r="G90" s="43">
        <f>G87</f>
        <v>0</v>
      </c>
      <c r="H90" s="43">
        <f>H87+H86</f>
        <v>0</v>
      </c>
      <c r="I90" s="43">
        <f>I86+I87</f>
        <v>0</v>
      </c>
      <c r="J90" s="43">
        <f aca="true" t="shared" si="25" ref="J90:X90">J87</f>
        <v>0</v>
      </c>
      <c r="K90" s="43">
        <f>K87+K88</f>
        <v>0</v>
      </c>
      <c r="L90" s="43">
        <f t="shared" si="25"/>
        <v>0</v>
      </c>
      <c r="M90" s="43">
        <f t="shared" si="25"/>
        <v>0</v>
      </c>
      <c r="N90" s="43">
        <f t="shared" si="25"/>
        <v>0</v>
      </c>
      <c r="O90" s="43">
        <f t="shared" si="25"/>
        <v>0</v>
      </c>
      <c r="P90" s="43">
        <f t="shared" si="25"/>
        <v>0</v>
      </c>
      <c r="Q90" s="43">
        <f t="shared" si="25"/>
        <v>0</v>
      </c>
      <c r="R90" s="43">
        <f t="shared" si="25"/>
        <v>0</v>
      </c>
      <c r="S90" s="43">
        <f t="shared" si="25"/>
        <v>0</v>
      </c>
      <c r="T90" s="43">
        <f t="shared" si="25"/>
        <v>0</v>
      </c>
      <c r="U90" s="43">
        <f t="shared" si="25"/>
        <v>0</v>
      </c>
      <c r="V90" s="43">
        <f t="shared" si="25"/>
        <v>0</v>
      </c>
      <c r="W90" s="43">
        <f t="shared" si="25"/>
        <v>0</v>
      </c>
      <c r="X90" s="43">
        <f t="shared" si="25"/>
        <v>0</v>
      </c>
      <c r="Y90" s="43"/>
      <c r="Z90" s="43">
        <f>Z87</f>
        <v>0</v>
      </c>
      <c r="AA90" s="43">
        <f>AA87</f>
        <v>0</v>
      </c>
      <c r="AB90" s="43">
        <f>AB87+AB86+AB88+AB89</f>
        <v>0</v>
      </c>
      <c r="AC90" s="43"/>
      <c r="AD90" s="43"/>
      <c r="AE90" s="44"/>
      <c r="AF90" s="27">
        <f>SUM(C90:AD90)</f>
        <v>0</v>
      </c>
      <c r="AG90" s="34">
        <f>AG87+AG86+AG89+AG88</f>
        <v>184029</v>
      </c>
      <c r="AH90" s="34">
        <f>AH87+AH86+AH89+AH88</f>
        <v>239200</v>
      </c>
      <c r="AI90" s="29">
        <f>AH90-AG90</f>
        <v>55171</v>
      </c>
      <c r="AP90" s="56"/>
    </row>
    <row r="91" spans="1:35" s="39" customFormat="1" ht="15" customHeight="1">
      <c r="A91" s="82" t="s">
        <v>44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21"/>
      <c r="AH91" s="51"/>
      <c r="AI91" s="55"/>
    </row>
    <row r="92" spans="1:35" s="39" customFormat="1" ht="26.25" customHeight="1">
      <c r="A92" s="35" t="s">
        <v>41</v>
      </c>
      <c r="B92" s="36">
        <v>619443</v>
      </c>
      <c r="C92" s="38"/>
      <c r="D92" s="38"/>
      <c r="E92" s="38"/>
      <c r="F92" s="38"/>
      <c r="G92" s="38"/>
      <c r="H92" s="38">
        <v>56313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40"/>
      <c r="AF92" s="27">
        <f>SUM(C92:AD92)</f>
        <v>56313</v>
      </c>
      <c r="AG92" s="34">
        <f>B92+AF92</f>
        <v>675756</v>
      </c>
      <c r="AH92" s="51">
        <v>675800</v>
      </c>
      <c r="AI92" s="29">
        <f>SUM(AH92-AG92)</f>
        <v>44</v>
      </c>
    </row>
    <row r="93" spans="1:35" s="39" customFormat="1" ht="18" customHeight="1">
      <c r="A93" s="12" t="s">
        <v>8</v>
      </c>
      <c r="B93" s="46">
        <f aca="true" t="shared" si="26" ref="B93:X93">B92</f>
        <v>619443</v>
      </c>
      <c r="C93" s="43">
        <f>C92</f>
        <v>0</v>
      </c>
      <c r="D93" s="43">
        <f t="shared" si="26"/>
        <v>0</v>
      </c>
      <c r="E93" s="43">
        <f t="shared" si="26"/>
        <v>0</v>
      </c>
      <c r="F93" s="43">
        <f t="shared" si="26"/>
        <v>0</v>
      </c>
      <c r="G93" s="43">
        <f t="shared" si="26"/>
        <v>0</v>
      </c>
      <c r="H93" s="43">
        <f t="shared" si="26"/>
        <v>56313</v>
      </c>
      <c r="I93" s="43">
        <f t="shared" si="26"/>
        <v>0</v>
      </c>
      <c r="J93" s="43">
        <f t="shared" si="26"/>
        <v>0</v>
      </c>
      <c r="K93" s="43">
        <f t="shared" si="26"/>
        <v>0</v>
      </c>
      <c r="L93" s="43">
        <f t="shared" si="26"/>
        <v>0</v>
      </c>
      <c r="M93" s="43">
        <f t="shared" si="26"/>
        <v>0</v>
      </c>
      <c r="N93" s="43">
        <f t="shared" si="26"/>
        <v>0</v>
      </c>
      <c r="O93" s="43">
        <f t="shared" si="26"/>
        <v>0</v>
      </c>
      <c r="P93" s="43">
        <f t="shared" si="26"/>
        <v>0</v>
      </c>
      <c r="Q93" s="43">
        <f t="shared" si="26"/>
        <v>0</v>
      </c>
      <c r="R93" s="43">
        <f t="shared" si="26"/>
        <v>0</v>
      </c>
      <c r="S93" s="43">
        <f t="shared" si="26"/>
        <v>0</v>
      </c>
      <c r="T93" s="43">
        <f t="shared" si="26"/>
        <v>0</v>
      </c>
      <c r="U93" s="43">
        <f t="shared" si="26"/>
        <v>0</v>
      </c>
      <c r="V93" s="43">
        <f t="shared" si="26"/>
        <v>0</v>
      </c>
      <c r="W93" s="43">
        <f t="shared" si="26"/>
        <v>0</v>
      </c>
      <c r="X93" s="43">
        <f t="shared" si="26"/>
        <v>0</v>
      </c>
      <c r="Y93" s="43">
        <f>Y92</f>
        <v>0</v>
      </c>
      <c r="Z93" s="43">
        <f>Z92</f>
        <v>0</v>
      </c>
      <c r="AA93" s="43">
        <f>AA92</f>
        <v>0</v>
      </c>
      <c r="AB93" s="43"/>
      <c r="AC93" s="43"/>
      <c r="AD93" s="43"/>
      <c r="AE93" s="44"/>
      <c r="AF93" s="27">
        <f>SUM(C93:AD93)</f>
        <v>56313</v>
      </c>
      <c r="AG93" s="34">
        <f>AG92</f>
        <v>675756</v>
      </c>
      <c r="AH93" s="34">
        <f>AH92</f>
        <v>675800</v>
      </c>
      <c r="AI93" s="29">
        <f>AH93-AG93</f>
        <v>44</v>
      </c>
    </row>
    <row r="94" spans="1:35" s="39" customFormat="1" ht="15" customHeight="1">
      <c r="A94" s="82" t="s">
        <v>45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1"/>
      <c r="AH94" s="51"/>
      <c r="AI94" s="55"/>
    </row>
    <row r="95" spans="1:35" s="39" customFormat="1" ht="21" customHeight="1">
      <c r="A95" s="35" t="s">
        <v>43</v>
      </c>
      <c r="B95" s="36">
        <v>1911</v>
      </c>
      <c r="C95" s="38"/>
      <c r="D95" s="38"/>
      <c r="E95" s="38"/>
      <c r="F95" s="38"/>
      <c r="G95" s="38">
        <v>-1911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40"/>
      <c r="AF95" s="27">
        <f>SUM(C95:AD95)</f>
        <v>-1911</v>
      </c>
      <c r="AG95" s="34">
        <f>B95+AF95</f>
        <v>0</v>
      </c>
      <c r="AH95" s="51">
        <v>0</v>
      </c>
      <c r="AI95" s="29">
        <f>SUM(AH95-AG95)</f>
        <v>0</v>
      </c>
    </row>
    <row r="96" spans="1:35" s="39" customFormat="1" ht="21" customHeight="1">
      <c r="A96" s="35" t="s">
        <v>100</v>
      </c>
      <c r="B96" s="36"/>
      <c r="C96" s="38"/>
      <c r="D96" s="38"/>
      <c r="E96" s="38"/>
      <c r="F96" s="38">
        <v>1911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40"/>
      <c r="AF96" s="27">
        <f>SUM(C96:AD96)</f>
        <v>1911</v>
      </c>
      <c r="AG96" s="34">
        <f>B96+AF96</f>
        <v>1911</v>
      </c>
      <c r="AH96" s="41">
        <v>1911</v>
      </c>
      <c r="AI96" s="29"/>
    </row>
    <row r="97" spans="1:35" s="39" customFormat="1" ht="18.75" customHeight="1">
      <c r="A97" s="12" t="s">
        <v>8</v>
      </c>
      <c r="B97" s="46">
        <f>B95+B96</f>
        <v>1911</v>
      </c>
      <c r="C97" s="43">
        <f>C95</f>
        <v>0</v>
      </c>
      <c r="D97" s="43">
        <f aca="true" t="shared" si="27" ref="D97:X97">D95</f>
        <v>0</v>
      </c>
      <c r="E97" s="43">
        <f t="shared" si="27"/>
        <v>0</v>
      </c>
      <c r="F97" s="43">
        <f>F95+F96</f>
        <v>1911</v>
      </c>
      <c r="G97" s="43">
        <f t="shared" si="27"/>
        <v>-1911</v>
      </c>
      <c r="H97" s="43">
        <f t="shared" si="27"/>
        <v>0</v>
      </c>
      <c r="I97" s="43">
        <f t="shared" si="27"/>
        <v>0</v>
      </c>
      <c r="J97" s="43">
        <f t="shared" si="27"/>
        <v>0</v>
      </c>
      <c r="K97" s="43">
        <f>K95+K96</f>
        <v>0</v>
      </c>
      <c r="L97" s="43">
        <f>L95+L96</f>
        <v>0</v>
      </c>
      <c r="M97" s="43">
        <f t="shared" si="27"/>
        <v>0</v>
      </c>
      <c r="N97" s="43">
        <f t="shared" si="27"/>
        <v>0</v>
      </c>
      <c r="O97" s="43">
        <f t="shared" si="27"/>
        <v>0</v>
      </c>
      <c r="P97" s="43">
        <f t="shared" si="27"/>
        <v>0</v>
      </c>
      <c r="Q97" s="43">
        <f t="shared" si="27"/>
        <v>0</v>
      </c>
      <c r="R97" s="43">
        <f t="shared" si="27"/>
        <v>0</v>
      </c>
      <c r="S97" s="43">
        <f t="shared" si="27"/>
        <v>0</v>
      </c>
      <c r="T97" s="43">
        <f t="shared" si="27"/>
        <v>0</v>
      </c>
      <c r="U97" s="43">
        <f t="shared" si="27"/>
        <v>0</v>
      </c>
      <c r="V97" s="43">
        <f t="shared" si="27"/>
        <v>0</v>
      </c>
      <c r="W97" s="43">
        <f t="shared" si="27"/>
        <v>0</v>
      </c>
      <c r="X97" s="43">
        <f t="shared" si="27"/>
        <v>0</v>
      </c>
      <c r="Y97" s="43">
        <f>Y95+Y96</f>
        <v>0</v>
      </c>
      <c r="Z97" s="43"/>
      <c r="AA97" s="43"/>
      <c r="AB97" s="43"/>
      <c r="AC97" s="43"/>
      <c r="AD97" s="43">
        <f>SUM(AD95:AD96)</f>
        <v>0</v>
      </c>
      <c r="AE97" s="44"/>
      <c r="AF97" s="43">
        <f>SUM(AF95:AF96)</f>
        <v>0</v>
      </c>
      <c r="AG97" s="34">
        <f>B97+AF97</f>
        <v>1911</v>
      </c>
      <c r="AH97" s="34">
        <f>AH95+AH96</f>
        <v>1911</v>
      </c>
      <c r="AI97" s="29">
        <f>AH97-AG97</f>
        <v>0</v>
      </c>
    </row>
    <row r="98" spans="1:35" s="39" customFormat="1" ht="15" customHeight="1">
      <c r="A98" s="82" t="s">
        <v>83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21"/>
      <c r="AH98" s="51"/>
      <c r="AI98" s="55"/>
    </row>
    <row r="99" spans="1:35" s="39" customFormat="1" ht="21" customHeight="1">
      <c r="A99" s="35" t="s">
        <v>25</v>
      </c>
      <c r="B99" s="36">
        <v>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40"/>
      <c r="AF99" s="27">
        <f>SUM(C99:AD99)</f>
        <v>0</v>
      </c>
      <c r="AG99" s="34">
        <f>B99+AF99</f>
        <v>0</v>
      </c>
      <c r="AH99" s="59">
        <v>0</v>
      </c>
      <c r="AI99" s="29">
        <f>SUM(AH99-AG99)</f>
        <v>0</v>
      </c>
    </row>
    <row r="100" spans="1:35" s="39" customFormat="1" ht="21" customHeight="1">
      <c r="A100" s="35" t="s">
        <v>96</v>
      </c>
      <c r="B100" s="36">
        <v>9553.05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40"/>
      <c r="AF100" s="27">
        <f>SUM(C100:AD100)</f>
        <v>0</v>
      </c>
      <c r="AG100" s="34">
        <f>B100+AF100</f>
        <v>9553.05</v>
      </c>
      <c r="AH100" s="59">
        <v>9553.05</v>
      </c>
      <c r="AI100" s="29"/>
    </row>
    <row r="101" spans="1:35" s="39" customFormat="1" ht="21" customHeight="1">
      <c r="A101" s="35" t="s">
        <v>100</v>
      </c>
      <c r="B101" s="36"/>
      <c r="C101" s="38">
        <v>1899343.95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40"/>
      <c r="AF101" s="27">
        <f>SUM(C101:AD101)</f>
        <v>1899343.95</v>
      </c>
      <c r="AG101" s="34">
        <f>B101+AF101</f>
        <v>1899343.95</v>
      </c>
      <c r="AH101" s="41">
        <v>1899343.95</v>
      </c>
      <c r="AI101" s="29"/>
    </row>
    <row r="102" spans="1:35" s="39" customFormat="1" ht="21" customHeight="1">
      <c r="A102" s="35" t="s">
        <v>43</v>
      </c>
      <c r="B102" s="36">
        <v>1899343.95</v>
      </c>
      <c r="C102" s="38">
        <v>-1899343.95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40"/>
      <c r="AF102" s="27">
        <f>SUM(C102:AD102)</f>
        <v>-1899343.95</v>
      </c>
      <c r="AG102" s="34">
        <f>B102+AF102</f>
        <v>0</v>
      </c>
      <c r="AH102" s="41">
        <v>0</v>
      </c>
      <c r="AI102" s="29">
        <f>SUM(AH102-AG102)</f>
        <v>0</v>
      </c>
    </row>
    <row r="103" spans="1:35" s="39" customFormat="1" ht="18.75" customHeight="1">
      <c r="A103" s="12" t="s">
        <v>8</v>
      </c>
      <c r="B103" s="46">
        <f>B99+B102+B100</f>
        <v>1908897</v>
      </c>
      <c r="C103" s="43">
        <f>C99+C100+C101+C102</f>
        <v>0</v>
      </c>
      <c r="D103" s="43">
        <f>D99+D100+D101+D102</f>
        <v>0</v>
      </c>
      <c r="E103" s="43">
        <f>E99+E102</f>
        <v>0</v>
      </c>
      <c r="F103" s="43">
        <f aca="true" t="shared" si="28" ref="F103:X103">F99</f>
        <v>0</v>
      </c>
      <c r="G103" s="43">
        <f t="shared" si="28"/>
        <v>0</v>
      </c>
      <c r="H103" s="43">
        <f t="shared" si="28"/>
        <v>0</v>
      </c>
      <c r="I103" s="43">
        <f t="shared" si="28"/>
        <v>0</v>
      </c>
      <c r="J103" s="43">
        <f t="shared" si="28"/>
        <v>0</v>
      </c>
      <c r="K103" s="43">
        <f t="shared" si="28"/>
        <v>0</v>
      </c>
      <c r="L103" s="43">
        <f t="shared" si="28"/>
        <v>0</v>
      </c>
      <c r="M103" s="43">
        <f t="shared" si="28"/>
        <v>0</v>
      </c>
      <c r="N103" s="43">
        <f t="shared" si="28"/>
        <v>0</v>
      </c>
      <c r="O103" s="43">
        <f t="shared" si="28"/>
        <v>0</v>
      </c>
      <c r="P103" s="43">
        <f t="shared" si="28"/>
        <v>0</v>
      </c>
      <c r="Q103" s="43">
        <f t="shared" si="28"/>
        <v>0</v>
      </c>
      <c r="R103" s="43">
        <f t="shared" si="28"/>
        <v>0</v>
      </c>
      <c r="S103" s="43">
        <f t="shared" si="28"/>
        <v>0</v>
      </c>
      <c r="T103" s="43">
        <f t="shared" si="28"/>
        <v>0</v>
      </c>
      <c r="U103" s="43">
        <f t="shared" si="28"/>
        <v>0</v>
      </c>
      <c r="V103" s="43">
        <f t="shared" si="28"/>
        <v>0</v>
      </c>
      <c r="W103" s="43">
        <f t="shared" si="28"/>
        <v>0</v>
      </c>
      <c r="X103" s="43">
        <f t="shared" si="28"/>
        <v>0</v>
      </c>
      <c r="Y103" s="43"/>
      <c r="Z103" s="43">
        <f>Z99+Z100</f>
        <v>0</v>
      </c>
      <c r="AA103" s="43"/>
      <c r="AB103" s="43">
        <f>AB99</f>
        <v>0</v>
      </c>
      <c r="AC103" s="43"/>
      <c r="AD103" s="43"/>
      <c r="AE103" s="44"/>
      <c r="AF103" s="27">
        <f>SUM(C103:AD103)</f>
        <v>0</v>
      </c>
      <c r="AG103" s="34">
        <f>AG99+AG102+AG100+AG101</f>
        <v>1908897</v>
      </c>
      <c r="AH103" s="34">
        <f>AH99+AH102+AH100+AH101</f>
        <v>1908897</v>
      </c>
      <c r="AI103" s="29">
        <f>AH103-AG103</f>
        <v>0</v>
      </c>
    </row>
    <row r="104" spans="1:35" s="39" customFormat="1" ht="15" customHeight="1">
      <c r="A104" s="82" t="s">
        <v>46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21"/>
      <c r="AH104" s="51"/>
      <c r="AI104" s="55"/>
    </row>
    <row r="105" spans="1:35" s="39" customFormat="1" ht="21" customHeight="1">
      <c r="A105" s="35" t="s">
        <v>24</v>
      </c>
      <c r="B105" s="36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40"/>
      <c r="AF105" s="27">
        <f>SUM(C105:AD105)</f>
        <v>0</v>
      </c>
      <c r="AG105" s="34">
        <f>B105+AF105</f>
        <v>0</v>
      </c>
      <c r="AH105" s="41">
        <v>337179</v>
      </c>
      <c r="AI105" s="29">
        <f>SUM(AH105-AG105)</f>
        <v>337179</v>
      </c>
    </row>
    <row r="106" spans="1:35" s="39" customFormat="1" ht="21" customHeight="1">
      <c r="A106" s="35" t="s">
        <v>25</v>
      </c>
      <c r="B106" s="36">
        <v>3372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40"/>
      <c r="AF106" s="27">
        <f>SUM(C106:AD106)</f>
        <v>0</v>
      </c>
      <c r="AG106" s="34">
        <f>B106+AF106</f>
        <v>3372</v>
      </c>
      <c r="AH106" s="41">
        <v>3372</v>
      </c>
      <c r="AI106" s="29">
        <f>SUM(AH106-AG106)</f>
        <v>0</v>
      </c>
    </row>
    <row r="107" spans="1:35" s="39" customFormat="1" ht="18.75" customHeight="1">
      <c r="A107" s="12" t="s">
        <v>8</v>
      </c>
      <c r="B107" s="46">
        <f>B105+B106</f>
        <v>3372</v>
      </c>
      <c r="C107" s="43">
        <f>C105</f>
        <v>0</v>
      </c>
      <c r="D107" s="43">
        <f aca="true" t="shared" si="29" ref="D107:X107">D105</f>
        <v>0</v>
      </c>
      <c r="E107" s="43">
        <f t="shared" si="29"/>
        <v>0</v>
      </c>
      <c r="F107" s="43">
        <f>F105+F106</f>
        <v>0</v>
      </c>
      <c r="G107" s="43">
        <f t="shared" si="29"/>
        <v>0</v>
      </c>
      <c r="H107" s="43">
        <f t="shared" si="29"/>
        <v>0</v>
      </c>
      <c r="I107" s="43">
        <f t="shared" si="29"/>
        <v>0</v>
      </c>
      <c r="J107" s="43">
        <f t="shared" si="29"/>
        <v>0</v>
      </c>
      <c r="K107" s="43">
        <f t="shared" si="29"/>
        <v>0</v>
      </c>
      <c r="L107" s="43">
        <f t="shared" si="29"/>
        <v>0</v>
      </c>
      <c r="M107" s="43">
        <f t="shared" si="29"/>
        <v>0</v>
      </c>
      <c r="N107" s="43">
        <f t="shared" si="29"/>
        <v>0</v>
      </c>
      <c r="O107" s="43">
        <f t="shared" si="29"/>
        <v>0</v>
      </c>
      <c r="P107" s="43">
        <f t="shared" si="29"/>
        <v>0</v>
      </c>
      <c r="Q107" s="43">
        <f t="shared" si="29"/>
        <v>0</v>
      </c>
      <c r="R107" s="43">
        <f t="shared" si="29"/>
        <v>0</v>
      </c>
      <c r="S107" s="43">
        <f t="shared" si="29"/>
        <v>0</v>
      </c>
      <c r="T107" s="43">
        <f t="shared" si="29"/>
        <v>0</v>
      </c>
      <c r="U107" s="43">
        <f t="shared" si="29"/>
        <v>0</v>
      </c>
      <c r="V107" s="43">
        <f t="shared" si="29"/>
        <v>0</v>
      </c>
      <c r="W107" s="43">
        <f t="shared" si="29"/>
        <v>0</v>
      </c>
      <c r="X107" s="43">
        <f t="shared" si="29"/>
        <v>0</v>
      </c>
      <c r="Y107" s="43"/>
      <c r="Z107" s="43"/>
      <c r="AA107" s="43"/>
      <c r="AB107" s="43"/>
      <c r="AC107" s="43"/>
      <c r="AD107" s="43"/>
      <c r="AE107" s="44"/>
      <c r="AF107" s="27">
        <f>SUM(C107:AD107)</f>
        <v>0</v>
      </c>
      <c r="AG107" s="34">
        <f>AG105+AG106</f>
        <v>3372</v>
      </c>
      <c r="AH107" s="34">
        <f>AH105+AH106</f>
        <v>340551</v>
      </c>
      <c r="AI107" s="29">
        <f>AH107-AG107</f>
        <v>337179</v>
      </c>
    </row>
    <row r="108" spans="1:35" s="39" customFormat="1" ht="15" customHeight="1">
      <c r="A108" s="82" t="s">
        <v>47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21"/>
      <c r="AH108" s="51"/>
      <c r="AI108" s="55"/>
    </row>
    <row r="109" spans="1:35" s="39" customFormat="1" ht="22.5" customHeight="1">
      <c r="A109" s="35" t="s">
        <v>24</v>
      </c>
      <c r="B109" s="36">
        <v>809200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>
        <v>28872</v>
      </c>
      <c r="AE109" s="40"/>
      <c r="AF109" s="27">
        <f>SUM(C109:AD109)</f>
        <v>28872</v>
      </c>
      <c r="AG109" s="34">
        <f>B109+AF109</f>
        <v>838072</v>
      </c>
      <c r="AH109" s="51">
        <v>1241121</v>
      </c>
      <c r="AI109" s="29">
        <f>SUM(AH109-AG109)</f>
        <v>403049</v>
      </c>
    </row>
    <row r="110" spans="1:35" s="39" customFormat="1" ht="22.5" customHeight="1">
      <c r="A110" s="35" t="s">
        <v>27</v>
      </c>
      <c r="B110" s="36"/>
      <c r="C110" s="38"/>
      <c r="D110" s="38"/>
      <c r="E110" s="38"/>
      <c r="F110" s="38"/>
      <c r="G110" s="38"/>
      <c r="H110" s="38"/>
      <c r="I110" s="38">
        <v>102652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40"/>
      <c r="AF110" s="27">
        <f>SUM(C110:AD110)</f>
        <v>102652</v>
      </c>
      <c r="AG110" s="34">
        <f>B110+AF110</f>
        <v>102652</v>
      </c>
      <c r="AH110" s="41">
        <v>102700</v>
      </c>
      <c r="AI110" s="29"/>
    </row>
    <row r="111" spans="1:35" s="39" customFormat="1" ht="22.5" customHeight="1">
      <c r="A111" s="35" t="s">
        <v>43</v>
      </c>
      <c r="B111" s="36">
        <v>224526</v>
      </c>
      <c r="C111" s="38"/>
      <c r="D111" s="38"/>
      <c r="E111" s="38">
        <v>523894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40"/>
      <c r="AF111" s="27">
        <f>SUM(C111:AD111)</f>
        <v>523894</v>
      </c>
      <c r="AG111" s="34">
        <f>B111+AF111</f>
        <v>748420</v>
      </c>
      <c r="AH111" s="41">
        <v>800000</v>
      </c>
      <c r="AI111" s="29"/>
    </row>
    <row r="112" spans="1:35" s="39" customFormat="1" ht="22.5" customHeight="1">
      <c r="A112" s="35" t="s">
        <v>25</v>
      </c>
      <c r="B112" s="36">
        <v>19008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40"/>
      <c r="AF112" s="27">
        <f>SUM(C112:AD112)</f>
        <v>0</v>
      </c>
      <c r="AG112" s="34">
        <f>B112+AF112</f>
        <v>19008</v>
      </c>
      <c r="AH112" s="41">
        <v>30228</v>
      </c>
      <c r="AI112" s="29">
        <f>SUM(AH112-AG112)</f>
        <v>11220</v>
      </c>
    </row>
    <row r="113" spans="1:35" s="39" customFormat="1" ht="18" customHeight="1">
      <c r="A113" s="12" t="s">
        <v>8</v>
      </c>
      <c r="B113" s="46">
        <f>B109+B112+B111+B110</f>
        <v>1052734</v>
      </c>
      <c r="C113" s="43">
        <f>C109</f>
        <v>0</v>
      </c>
      <c r="D113" s="43">
        <f aca="true" t="shared" si="30" ref="D113:X113">D109</f>
        <v>0</v>
      </c>
      <c r="E113" s="43">
        <f>E109+E111+E112</f>
        <v>523894</v>
      </c>
      <c r="F113" s="43">
        <f>F109+F111+F112</f>
        <v>0</v>
      </c>
      <c r="G113" s="43">
        <f>G109+G111+G112</f>
        <v>0</v>
      </c>
      <c r="H113" s="43">
        <f>H109+H110+H111+H112</f>
        <v>0</v>
      </c>
      <c r="I113" s="43">
        <f>I109+I110+I111+I112</f>
        <v>102652</v>
      </c>
      <c r="J113" s="43">
        <f t="shared" si="30"/>
        <v>0</v>
      </c>
      <c r="K113" s="43">
        <f>K109+K112</f>
        <v>0</v>
      </c>
      <c r="L113" s="43">
        <f t="shared" si="30"/>
        <v>0</v>
      </c>
      <c r="M113" s="43">
        <f t="shared" si="30"/>
        <v>0</v>
      </c>
      <c r="N113" s="43">
        <f t="shared" si="30"/>
        <v>0</v>
      </c>
      <c r="O113" s="43">
        <f t="shared" si="30"/>
        <v>0</v>
      </c>
      <c r="P113" s="43">
        <f t="shared" si="30"/>
        <v>0</v>
      </c>
      <c r="Q113" s="43">
        <f t="shared" si="30"/>
        <v>0</v>
      </c>
      <c r="R113" s="43">
        <f t="shared" si="30"/>
        <v>0</v>
      </c>
      <c r="S113" s="43">
        <f t="shared" si="30"/>
        <v>0</v>
      </c>
      <c r="T113" s="43">
        <f t="shared" si="30"/>
        <v>0</v>
      </c>
      <c r="U113" s="43">
        <f t="shared" si="30"/>
        <v>0</v>
      </c>
      <c r="V113" s="43">
        <f t="shared" si="30"/>
        <v>0</v>
      </c>
      <c r="W113" s="43">
        <f t="shared" si="30"/>
        <v>0</v>
      </c>
      <c r="X113" s="43">
        <f t="shared" si="30"/>
        <v>0</v>
      </c>
      <c r="Y113" s="43">
        <f>Y109+Y112</f>
        <v>0</v>
      </c>
      <c r="Z113" s="43"/>
      <c r="AA113" s="43">
        <f>AA109+AA112</f>
        <v>0</v>
      </c>
      <c r="AB113" s="43"/>
      <c r="AC113" s="43"/>
      <c r="AD113" s="43">
        <f>AD109+AD112</f>
        <v>28872</v>
      </c>
      <c r="AE113" s="44"/>
      <c r="AF113" s="27">
        <f>AF109+AF112+AF111+AF110</f>
        <v>655418</v>
      </c>
      <c r="AG113" s="27">
        <f>AG109+AG112+AG111+AG110</f>
        <v>1708152</v>
      </c>
      <c r="AH113" s="34">
        <f>AH109+AH112+AH111+AH110</f>
        <v>2174049</v>
      </c>
      <c r="AI113" s="34">
        <f>AI109+AI112+AI110+AI111</f>
        <v>414269</v>
      </c>
    </row>
    <row r="114" spans="1:35" s="39" customFormat="1" ht="15" customHeight="1" hidden="1">
      <c r="A114" s="82" t="s">
        <v>48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21"/>
      <c r="AH114" s="47"/>
      <c r="AI114" s="29"/>
    </row>
    <row r="115" spans="1:35" s="39" customFormat="1" ht="15" customHeight="1" hidden="1">
      <c r="A115" s="35" t="s">
        <v>40</v>
      </c>
      <c r="B115" s="36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3"/>
      <c r="AF115" s="34">
        <f>SUM(C115:AD115)</f>
        <v>0</v>
      </c>
      <c r="AG115" s="34">
        <f>B118+AF118</f>
        <v>0</v>
      </c>
      <c r="AH115" s="54"/>
      <c r="AI115" s="29"/>
    </row>
    <row r="116" spans="1:35" s="39" customFormat="1" ht="15" customHeight="1" hidden="1">
      <c r="A116" s="12" t="s">
        <v>8</v>
      </c>
      <c r="B116" s="36">
        <f aca="true" t="shared" si="31" ref="B116:X116">B115</f>
        <v>0</v>
      </c>
      <c r="C116" s="36">
        <f t="shared" si="31"/>
        <v>0</v>
      </c>
      <c r="D116" s="36">
        <f t="shared" si="31"/>
        <v>0</v>
      </c>
      <c r="E116" s="36">
        <f t="shared" si="31"/>
        <v>0</v>
      </c>
      <c r="F116" s="36">
        <f t="shared" si="31"/>
        <v>0</v>
      </c>
      <c r="G116" s="36">
        <f t="shared" si="31"/>
        <v>0</v>
      </c>
      <c r="H116" s="36">
        <f t="shared" si="31"/>
        <v>0</v>
      </c>
      <c r="I116" s="36">
        <f t="shared" si="31"/>
        <v>0</v>
      </c>
      <c r="J116" s="36">
        <f t="shared" si="31"/>
        <v>0</v>
      </c>
      <c r="K116" s="36">
        <f t="shared" si="31"/>
        <v>0</v>
      </c>
      <c r="L116" s="36">
        <f t="shared" si="31"/>
        <v>0</v>
      </c>
      <c r="M116" s="36">
        <f t="shared" si="31"/>
        <v>0</v>
      </c>
      <c r="N116" s="36">
        <f t="shared" si="31"/>
        <v>0</v>
      </c>
      <c r="O116" s="36">
        <f t="shared" si="31"/>
        <v>0</v>
      </c>
      <c r="P116" s="36">
        <f t="shared" si="31"/>
        <v>0</v>
      </c>
      <c r="Q116" s="36">
        <f t="shared" si="31"/>
        <v>0</v>
      </c>
      <c r="R116" s="36">
        <f t="shared" si="31"/>
        <v>0</v>
      </c>
      <c r="S116" s="36">
        <f t="shared" si="31"/>
        <v>0</v>
      </c>
      <c r="T116" s="36">
        <f t="shared" si="31"/>
        <v>0</v>
      </c>
      <c r="U116" s="36">
        <f t="shared" si="31"/>
        <v>0</v>
      </c>
      <c r="V116" s="36">
        <f t="shared" si="31"/>
        <v>0</v>
      </c>
      <c r="W116" s="36">
        <f t="shared" si="31"/>
        <v>0</v>
      </c>
      <c r="X116" s="36">
        <f t="shared" si="31"/>
        <v>0</v>
      </c>
      <c r="Y116" s="52"/>
      <c r="Z116" s="52"/>
      <c r="AA116" s="52"/>
      <c r="AB116" s="52"/>
      <c r="AC116" s="52"/>
      <c r="AD116" s="52"/>
      <c r="AE116" s="52"/>
      <c r="AF116" s="36">
        <f>AF115</f>
        <v>0</v>
      </c>
      <c r="AG116" s="34">
        <f>B119+AF119</f>
        <v>0</v>
      </c>
      <c r="AH116" s="54"/>
      <c r="AI116" s="29"/>
    </row>
    <row r="117" spans="1:35" s="39" customFormat="1" ht="15" customHeight="1" hidden="1">
      <c r="A117" s="82" t="s">
        <v>49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57">
        <f>AG115+AG116</f>
        <v>0</v>
      </c>
      <c r="AH117" s="57">
        <f>AH115+AH116</f>
        <v>0</v>
      </c>
      <c r="AI117" s="29">
        <f>AH117-AG117</f>
        <v>0</v>
      </c>
    </row>
    <row r="118" spans="1:35" s="39" customFormat="1" ht="15" customHeight="1" hidden="1">
      <c r="A118" s="35" t="s">
        <v>35</v>
      </c>
      <c r="B118" s="36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3"/>
      <c r="AF118" s="34">
        <f>SUM(C118:AD118)</f>
        <v>0</v>
      </c>
      <c r="AG118" s="21"/>
      <c r="AH118" s="51"/>
      <c r="AI118" s="55"/>
    </row>
    <row r="119" spans="1:35" s="39" customFormat="1" ht="15" customHeight="1" hidden="1">
      <c r="A119" s="35" t="s">
        <v>31</v>
      </c>
      <c r="B119" s="36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3"/>
      <c r="AF119" s="34">
        <f>SUM(C119:AD119)</f>
        <v>0</v>
      </c>
      <c r="AG119" s="34">
        <f>B122+AF122</f>
        <v>0</v>
      </c>
      <c r="AH119" s="51"/>
      <c r="AI119" s="29"/>
    </row>
    <row r="120" spans="1:35" s="39" customFormat="1" ht="15" customHeight="1" hidden="1">
      <c r="A120" s="12" t="s">
        <v>8</v>
      </c>
      <c r="B120" s="36">
        <f aca="true" t="shared" si="32" ref="B120:X120">B118+B119</f>
        <v>0</v>
      </c>
      <c r="C120" s="36">
        <f t="shared" si="32"/>
        <v>0</v>
      </c>
      <c r="D120" s="36">
        <f t="shared" si="32"/>
        <v>0</v>
      </c>
      <c r="E120" s="36">
        <f t="shared" si="32"/>
        <v>0</v>
      </c>
      <c r="F120" s="36">
        <f t="shared" si="32"/>
        <v>0</v>
      </c>
      <c r="G120" s="36">
        <f t="shared" si="32"/>
        <v>0</v>
      </c>
      <c r="H120" s="36">
        <f t="shared" si="32"/>
        <v>0</v>
      </c>
      <c r="I120" s="36">
        <f t="shared" si="32"/>
        <v>0</v>
      </c>
      <c r="J120" s="36">
        <f t="shared" si="32"/>
        <v>0</v>
      </c>
      <c r="K120" s="36">
        <f t="shared" si="32"/>
        <v>0</v>
      </c>
      <c r="L120" s="36">
        <f t="shared" si="32"/>
        <v>0</v>
      </c>
      <c r="M120" s="36">
        <f t="shared" si="32"/>
        <v>0</v>
      </c>
      <c r="N120" s="36">
        <f t="shared" si="32"/>
        <v>0</v>
      </c>
      <c r="O120" s="36">
        <f t="shared" si="32"/>
        <v>0</v>
      </c>
      <c r="P120" s="36">
        <f t="shared" si="32"/>
        <v>0</v>
      </c>
      <c r="Q120" s="36">
        <f t="shared" si="32"/>
        <v>0</v>
      </c>
      <c r="R120" s="36">
        <f t="shared" si="32"/>
        <v>0</v>
      </c>
      <c r="S120" s="36">
        <f t="shared" si="32"/>
        <v>0</v>
      </c>
      <c r="T120" s="36">
        <f t="shared" si="32"/>
        <v>0</v>
      </c>
      <c r="U120" s="36">
        <f t="shared" si="32"/>
        <v>0</v>
      </c>
      <c r="V120" s="36">
        <f t="shared" si="32"/>
        <v>0</v>
      </c>
      <c r="W120" s="36">
        <f t="shared" si="32"/>
        <v>0</v>
      </c>
      <c r="X120" s="36">
        <f t="shared" si="32"/>
        <v>0</v>
      </c>
      <c r="Y120" s="52"/>
      <c r="Z120" s="52"/>
      <c r="AA120" s="52"/>
      <c r="AB120" s="52"/>
      <c r="AC120" s="52"/>
      <c r="AD120" s="52"/>
      <c r="AE120" s="52"/>
      <c r="AF120" s="36">
        <f>AF118+AF119</f>
        <v>0</v>
      </c>
      <c r="AG120" s="36">
        <f>AG119</f>
        <v>0</v>
      </c>
      <c r="AH120" s="36">
        <f>AH119</f>
        <v>0</v>
      </c>
      <c r="AI120" s="29">
        <f>AH120-AG120</f>
        <v>0</v>
      </c>
    </row>
    <row r="121" spans="1:35" s="39" customFormat="1" ht="15" customHeight="1" hidden="1">
      <c r="A121" s="82" t="s">
        <v>50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21"/>
      <c r="AH121" s="51"/>
      <c r="AI121" s="55"/>
    </row>
    <row r="122" spans="1:35" s="39" customFormat="1" ht="15" customHeight="1" hidden="1">
      <c r="A122" s="35" t="s">
        <v>51</v>
      </c>
      <c r="B122" s="36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3"/>
      <c r="AF122" s="34">
        <f>SUM(C122:AD122)</f>
        <v>0</v>
      </c>
      <c r="AG122" s="34">
        <f>B137+AF137</f>
        <v>625734.16</v>
      </c>
      <c r="AH122" s="51"/>
      <c r="AI122" s="29"/>
    </row>
    <row r="123" spans="1:35" s="39" customFormat="1" ht="15" customHeight="1" hidden="1">
      <c r="A123" s="12" t="s">
        <v>8</v>
      </c>
      <c r="B123" s="36">
        <f aca="true" t="shared" si="33" ref="B123:X123">B122</f>
        <v>0</v>
      </c>
      <c r="C123" s="36">
        <f t="shared" si="33"/>
        <v>0</v>
      </c>
      <c r="D123" s="36">
        <f t="shared" si="33"/>
        <v>0</v>
      </c>
      <c r="E123" s="36">
        <f t="shared" si="33"/>
        <v>0</v>
      </c>
      <c r="F123" s="36">
        <f t="shared" si="33"/>
        <v>0</v>
      </c>
      <c r="G123" s="36">
        <f t="shared" si="33"/>
        <v>0</v>
      </c>
      <c r="H123" s="36">
        <f t="shared" si="33"/>
        <v>0</v>
      </c>
      <c r="I123" s="36">
        <f t="shared" si="33"/>
        <v>0</v>
      </c>
      <c r="J123" s="36">
        <f t="shared" si="33"/>
        <v>0</v>
      </c>
      <c r="K123" s="36">
        <f t="shared" si="33"/>
        <v>0</v>
      </c>
      <c r="L123" s="36">
        <f t="shared" si="33"/>
        <v>0</v>
      </c>
      <c r="M123" s="36">
        <f t="shared" si="33"/>
        <v>0</v>
      </c>
      <c r="N123" s="36">
        <f t="shared" si="33"/>
        <v>0</v>
      </c>
      <c r="O123" s="36">
        <f t="shared" si="33"/>
        <v>0</v>
      </c>
      <c r="P123" s="36">
        <f t="shared" si="33"/>
        <v>0</v>
      </c>
      <c r="Q123" s="36">
        <f t="shared" si="33"/>
        <v>0</v>
      </c>
      <c r="R123" s="36">
        <f t="shared" si="33"/>
        <v>0</v>
      </c>
      <c r="S123" s="36">
        <f t="shared" si="33"/>
        <v>0</v>
      </c>
      <c r="T123" s="36">
        <f t="shared" si="33"/>
        <v>0</v>
      </c>
      <c r="U123" s="36">
        <f t="shared" si="33"/>
        <v>0</v>
      </c>
      <c r="V123" s="36">
        <f t="shared" si="33"/>
        <v>0</v>
      </c>
      <c r="W123" s="36">
        <f t="shared" si="33"/>
        <v>0</v>
      </c>
      <c r="X123" s="36">
        <f t="shared" si="33"/>
        <v>0</v>
      </c>
      <c r="Y123" s="52"/>
      <c r="Z123" s="52"/>
      <c r="AA123" s="52"/>
      <c r="AB123" s="52"/>
      <c r="AC123" s="52"/>
      <c r="AD123" s="52"/>
      <c r="AE123" s="52"/>
      <c r="AF123" s="36">
        <f>AF122</f>
        <v>0</v>
      </c>
      <c r="AG123" s="34">
        <f>B138+AF138</f>
        <v>0</v>
      </c>
      <c r="AH123" s="51"/>
      <c r="AI123" s="29"/>
    </row>
    <row r="124" spans="1:35" s="39" customFormat="1" ht="15" customHeight="1">
      <c r="A124" s="82" t="s">
        <v>84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34"/>
      <c r="AH124" s="51"/>
      <c r="AI124" s="29"/>
    </row>
    <row r="125" spans="1:35" s="39" customFormat="1" ht="19.5" customHeight="1">
      <c r="A125" s="35" t="s">
        <v>25</v>
      </c>
      <c r="B125" s="36">
        <v>37700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40"/>
      <c r="AF125" s="27">
        <f>SUM(C125:AD125)+AE125</f>
        <v>0</v>
      </c>
      <c r="AG125" s="34">
        <f>B125+AF125</f>
        <v>37700</v>
      </c>
      <c r="AH125" s="51">
        <v>37700</v>
      </c>
      <c r="AI125" s="29">
        <f>SUM(AH125-AG125)</f>
        <v>0</v>
      </c>
    </row>
    <row r="126" spans="1:35" s="39" customFormat="1" ht="19.5" customHeight="1">
      <c r="A126" s="35" t="s">
        <v>75</v>
      </c>
      <c r="B126" s="36">
        <v>18850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40"/>
      <c r="AF126" s="27">
        <f>SUM(C126:AD126)</f>
        <v>0</v>
      </c>
      <c r="AG126" s="34">
        <f>B126+AF126</f>
        <v>18850</v>
      </c>
      <c r="AH126" s="51">
        <v>18850</v>
      </c>
      <c r="AI126" s="29">
        <f>SUM(AH126-AG126)</f>
        <v>0</v>
      </c>
    </row>
    <row r="127" spans="1:35" s="39" customFormat="1" ht="18" customHeight="1">
      <c r="A127" s="12" t="s">
        <v>8</v>
      </c>
      <c r="B127" s="46">
        <f>B125+B126</f>
        <v>56550</v>
      </c>
      <c r="C127" s="43">
        <f>C125</f>
        <v>0</v>
      </c>
      <c r="D127" s="43">
        <f aca="true" t="shared" si="34" ref="D127:X127">D125</f>
        <v>0</v>
      </c>
      <c r="E127" s="43">
        <f t="shared" si="34"/>
        <v>0</v>
      </c>
      <c r="F127" s="43">
        <f>F125+F126</f>
        <v>0</v>
      </c>
      <c r="G127" s="43">
        <f t="shared" si="34"/>
        <v>0</v>
      </c>
      <c r="H127" s="43">
        <f>H126+H125</f>
        <v>0</v>
      </c>
      <c r="I127" s="43">
        <f t="shared" si="34"/>
        <v>0</v>
      </c>
      <c r="J127" s="43">
        <f t="shared" si="34"/>
        <v>0</v>
      </c>
      <c r="K127" s="43">
        <f>K125+K126</f>
        <v>0</v>
      </c>
      <c r="L127" s="43">
        <f>L126+L125</f>
        <v>0</v>
      </c>
      <c r="M127" s="43">
        <f t="shared" si="34"/>
        <v>0</v>
      </c>
      <c r="N127" s="43">
        <f t="shared" si="34"/>
        <v>0</v>
      </c>
      <c r="O127" s="43">
        <f t="shared" si="34"/>
        <v>0</v>
      </c>
      <c r="P127" s="43">
        <f t="shared" si="34"/>
        <v>0</v>
      </c>
      <c r="Q127" s="43">
        <f t="shared" si="34"/>
        <v>0</v>
      </c>
      <c r="R127" s="43">
        <f t="shared" si="34"/>
        <v>0</v>
      </c>
      <c r="S127" s="43">
        <f t="shared" si="34"/>
        <v>0</v>
      </c>
      <c r="T127" s="43">
        <f t="shared" si="34"/>
        <v>0</v>
      </c>
      <c r="U127" s="43">
        <f t="shared" si="34"/>
        <v>0</v>
      </c>
      <c r="V127" s="43">
        <f t="shared" si="34"/>
        <v>0</v>
      </c>
      <c r="W127" s="43">
        <f t="shared" si="34"/>
        <v>0</v>
      </c>
      <c r="X127" s="43">
        <f t="shared" si="34"/>
        <v>0</v>
      </c>
      <c r="Y127" s="43">
        <f>Y126+Y125</f>
        <v>0</v>
      </c>
      <c r="Z127" s="43"/>
      <c r="AA127" s="43"/>
      <c r="AB127" s="43">
        <f>AB126+AB125</f>
        <v>0</v>
      </c>
      <c r="AC127" s="43">
        <f>AC126+AC125</f>
        <v>0</v>
      </c>
      <c r="AD127" s="43"/>
      <c r="AE127" s="44">
        <f>AE125+AE126</f>
        <v>0</v>
      </c>
      <c r="AF127" s="27">
        <f>SUM(C127:AD127)+AE127</f>
        <v>0</v>
      </c>
      <c r="AG127" s="34">
        <f>AG125+AG126</f>
        <v>56550</v>
      </c>
      <c r="AH127" s="58">
        <f>AH125+AH126</f>
        <v>56550</v>
      </c>
      <c r="AI127" s="29">
        <f>AI125+AI126</f>
        <v>0</v>
      </c>
    </row>
    <row r="128" spans="1:35" s="39" customFormat="1" ht="18" customHeight="1">
      <c r="A128" s="82" t="s">
        <v>90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21"/>
      <c r="AH128" s="47"/>
      <c r="AI128" s="29"/>
    </row>
    <row r="129" spans="1:35" s="39" customFormat="1" ht="18" customHeight="1">
      <c r="A129" s="35" t="s">
        <v>91</v>
      </c>
      <c r="B129" s="36">
        <v>9213000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40"/>
      <c r="AF129" s="27">
        <f>SUM(C129:AD129)</f>
        <v>0</v>
      </c>
      <c r="AG129" s="34">
        <f>B129+AF129</f>
        <v>9213000</v>
      </c>
      <c r="AH129" s="47">
        <v>9213000</v>
      </c>
      <c r="AI129" s="29">
        <f>AH129-AG129</f>
        <v>0</v>
      </c>
    </row>
    <row r="130" spans="1:35" s="39" customFormat="1" ht="18" customHeight="1">
      <c r="A130" s="12" t="s">
        <v>8</v>
      </c>
      <c r="B130" s="46">
        <f>B129</f>
        <v>9213000</v>
      </c>
      <c r="C130" s="43">
        <f>C129</f>
        <v>0</v>
      </c>
      <c r="D130" s="43">
        <f>D129</f>
        <v>0</v>
      </c>
      <c r="E130" s="43">
        <f>E129</f>
        <v>0</v>
      </c>
      <c r="F130" s="43">
        <f>F129</f>
        <v>0</v>
      </c>
      <c r="G130" s="43">
        <f aca="true" t="shared" si="35" ref="G130:AA130">G129</f>
        <v>0</v>
      </c>
      <c r="H130" s="43">
        <f t="shared" si="35"/>
        <v>0</v>
      </c>
      <c r="I130" s="43">
        <f t="shared" si="35"/>
        <v>0</v>
      </c>
      <c r="J130" s="43">
        <f t="shared" si="35"/>
        <v>0</v>
      </c>
      <c r="K130" s="43">
        <f t="shared" si="35"/>
        <v>0</v>
      </c>
      <c r="L130" s="43">
        <f t="shared" si="35"/>
        <v>0</v>
      </c>
      <c r="M130" s="43">
        <f t="shared" si="35"/>
        <v>0</v>
      </c>
      <c r="N130" s="43">
        <f t="shared" si="35"/>
        <v>0</v>
      </c>
      <c r="O130" s="43">
        <f t="shared" si="35"/>
        <v>0</v>
      </c>
      <c r="P130" s="43">
        <f t="shared" si="35"/>
        <v>0</v>
      </c>
      <c r="Q130" s="43">
        <f t="shared" si="35"/>
        <v>0</v>
      </c>
      <c r="R130" s="43">
        <f t="shared" si="35"/>
        <v>0</v>
      </c>
      <c r="S130" s="43">
        <f t="shared" si="35"/>
        <v>0</v>
      </c>
      <c r="T130" s="43">
        <f t="shared" si="35"/>
        <v>0</v>
      </c>
      <c r="U130" s="43">
        <f t="shared" si="35"/>
        <v>0</v>
      </c>
      <c r="V130" s="43">
        <f t="shared" si="35"/>
        <v>0</v>
      </c>
      <c r="W130" s="43">
        <f t="shared" si="35"/>
        <v>0</v>
      </c>
      <c r="X130" s="43">
        <f t="shared" si="35"/>
        <v>0</v>
      </c>
      <c r="Y130" s="43">
        <f t="shared" si="35"/>
        <v>0</v>
      </c>
      <c r="Z130" s="43">
        <f t="shared" si="35"/>
        <v>0</v>
      </c>
      <c r="AA130" s="43">
        <f t="shared" si="35"/>
        <v>0</v>
      </c>
      <c r="AB130" s="38"/>
      <c r="AC130" s="43">
        <f>AC129</f>
        <v>0</v>
      </c>
      <c r="AD130" s="38"/>
      <c r="AE130" s="40"/>
      <c r="AF130" s="27">
        <f>SUM(AF129)</f>
        <v>0</v>
      </c>
      <c r="AG130" s="34">
        <f>AG129</f>
        <v>9213000</v>
      </c>
      <c r="AH130" s="34">
        <f>AH129</f>
        <v>9213000</v>
      </c>
      <c r="AI130" s="29">
        <f>AH130-AG130</f>
        <v>0</v>
      </c>
    </row>
    <row r="131" spans="1:35" s="39" customFormat="1" ht="18" customHeight="1">
      <c r="A131" s="82" t="s">
        <v>93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21"/>
      <c r="AH131" s="47"/>
      <c r="AI131" s="29"/>
    </row>
    <row r="132" spans="1:35" s="39" customFormat="1" ht="18" customHeight="1">
      <c r="A132" s="35" t="s">
        <v>78</v>
      </c>
      <c r="B132" s="36">
        <v>1437000</v>
      </c>
      <c r="C132" s="38">
        <v>-1340000</v>
      </c>
      <c r="D132" s="38">
        <v>1340000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>
        <v>0</v>
      </c>
      <c r="AB132" s="38"/>
      <c r="AC132" s="38"/>
      <c r="AD132" s="38"/>
      <c r="AE132" s="40"/>
      <c r="AF132" s="27">
        <f>SUM(C132:AD132)</f>
        <v>0</v>
      </c>
      <c r="AG132" s="34">
        <f>B132+AF132</f>
        <v>1437000</v>
      </c>
      <c r="AH132" s="47">
        <v>1437000</v>
      </c>
      <c r="AI132" s="29">
        <f>AH132-AG132</f>
        <v>0</v>
      </c>
    </row>
    <row r="133" spans="1:35" s="39" customFormat="1" ht="18" customHeight="1">
      <c r="A133" s="12" t="s">
        <v>8</v>
      </c>
      <c r="B133" s="46">
        <f>B132</f>
        <v>1437000</v>
      </c>
      <c r="C133" s="43">
        <f>C132</f>
        <v>-1340000</v>
      </c>
      <c r="D133" s="43">
        <f>D132</f>
        <v>1340000</v>
      </c>
      <c r="E133" s="43">
        <f>E132</f>
        <v>0</v>
      </c>
      <c r="F133" s="43">
        <f>F132</f>
        <v>0</v>
      </c>
      <c r="G133" s="43">
        <f aca="true" t="shared" si="36" ref="G133:AA133">G132</f>
        <v>0</v>
      </c>
      <c r="H133" s="43">
        <f t="shared" si="36"/>
        <v>0</v>
      </c>
      <c r="I133" s="43">
        <f t="shared" si="36"/>
        <v>0</v>
      </c>
      <c r="J133" s="43">
        <f t="shared" si="36"/>
        <v>0</v>
      </c>
      <c r="K133" s="43">
        <f t="shared" si="36"/>
        <v>0</v>
      </c>
      <c r="L133" s="43">
        <f t="shared" si="36"/>
        <v>0</v>
      </c>
      <c r="M133" s="43">
        <f t="shared" si="36"/>
        <v>0</v>
      </c>
      <c r="N133" s="43">
        <f t="shared" si="36"/>
        <v>0</v>
      </c>
      <c r="O133" s="43">
        <f t="shared" si="36"/>
        <v>0</v>
      </c>
      <c r="P133" s="43">
        <f t="shared" si="36"/>
        <v>0</v>
      </c>
      <c r="Q133" s="43">
        <f t="shared" si="36"/>
        <v>0</v>
      </c>
      <c r="R133" s="43">
        <f t="shared" si="36"/>
        <v>0</v>
      </c>
      <c r="S133" s="43">
        <f t="shared" si="36"/>
        <v>0</v>
      </c>
      <c r="T133" s="43">
        <f t="shared" si="36"/>
        <v>0</v>
      </c>
      <c r="U133" s="43">
        <f t="shared" si="36"/>
        <v>0</v>
      </c>
      <c r="V133" s="43">
        <f t="shared" si="36"/>
        <v>0</v>
      </c>
      <c r="W133" s="43">
        <f t="shared" si="36"/>
        <v>0</v>
      </c>
      <c r="X133" s="43">
        <f t="shared" si="36"/>
        <v>0</v>
      </c>
      <c r="Y133" s="43">
        <f t="shared" si="36"/>
        <v>0</v>
      </c>
      <c r="Z133" s="43">
        <f t="shared" si="36"/>
        <v>0</v>
      </c>
      <c r="AA133" s="43">
        <f t="shared" si="36"/>
        <v>0</v>
      </c>
      <c r="AB133" s="38"/>
      <c r="AC133" s="43">
        <f>AC132</f>
        <v>0</v>
      </c>
      <c r="AD133" s="38"/>
      <c r="AE133" s="40"/>
      <c r="AF133" s="27">
        <f>SUM(AF132)</f>
        <v>0</v>
      </c>
      <c r="AG133" s="34">
        <f>AG132</f>
        <v>1437000</v>
      </c>
      <c r="AH133" s="34">
        <f>AH132</f>
        <v>1437000</v>
      </c>
      <c r="AI133" s="29">
        <f>AH133-AG133</f>
        <v>0</v>
      </c>
    </row>
    <row r="134" spans="1:35" s="39" customFormat="1" ht="15" customHeight="1">
      <c r="A134" s="86" t="s">
        <v>52</v>
      </c>
      <c r="B134" s="86"/>
      <c r="C134" s="87"/>
      <c r="D134" s="86"/>
      <c r="E134" s="87"/>
      <c r="F134" s="86"/>
      <c r="G134" s="87"/>
      <c r="H134" s="86"/>
      <c r="I134" s="87"/>
      <c r="J134" s="86"/>
      <c r="K134" s="87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7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</row>
    <row r="135" spans="1:35" s="39" customFormat="1" ht="19.5" customHeight="1">
      <c r="A135" s="35" t="s">
        <v>25</v>
      </c>
      <c r="B135" s="21" t="s">
        <v>94</v>
      </c>
      <c r="C135" s="69"/>
      <c r="D135" s="21"/>
      <c r="E135" s="69"/>
      <c r="F135" s="21"/>
      <c r="G135" s="69"/>
      <c r="H135" s="21"/>
      <c r="I135" s="69"/>
      <c r="J135" s="21"/>
      <c r="K135" s="69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69"/>
      <c r="Z135" s="71"/>
      <c r="AA135" s="75"/>
      <c r="AB135" s="67"/>
      <c r="AC135" s="21"/>
      <c r="AD135" s="21"/>
      <c r="AE135" s="21"/>
      <c r="AF135" s="27">
        <f>C135+D135+E135+F135+G135+H135+I135+J135+K135+L135+Y135+Z135+AA135+AD135+AE135+AB135</f>
        <v>0</v>
      </c>
      <c r="AG135" s="34">
        <f>B135+AF135</f>
        <v>103880</v>
      </c>
      <c r="AH135" s="51">
        <v>149670</v>
      </c>
      <c r="AI135" s="29">
        <f>SUM(AH135-AG135)</f>
        <v>45790</v>
      </c>
    </row>
    <row r="136" spans="1:36" s="39" customFormat="1" ht="19.5" customHeight="1">
      <c r="A136" s="35" t="s">
        <v>24</v>
      </c>
      <c r="B136" s="21"/>
      <c r="C136" s="70"/>
      <c r="D136" s="21"/>
      <c r="E136" s="70"/>
      <c r="F136" s="38"/>
      <c r="G136" s="70"/>
      <c r="H136" s="67"/>
      <c r="I136" s="70"/>
      <c r="J136" s="21"/>
      <c r="K136" s="70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70"/>
      <c r="Z136" s="71"/>
      <c r="AA136" s="21"/>
      <c r="AB136" s="21"/>
      <c r="AC136" s="21"/>
      <c r="AD136" s="21"/>
      <c r="AE136" s="21"/>
      <c r="AF136" s="27">
        <f>C136+D136+E136+F136+G136+H136+I136+J136+K136+L136+Y136+Z136+AA136+AD136+AE136</f>
        <v>0</v>
      </c>
      <c r="AG136" s="34">
        <f>B136+AF136</f>
        <v>0</v>
      </c>
      <c r="AH136" s="51">
        <v>161180</v>
      </c>
      <c r="AI136" s="29">
        <f>SUM(AH136-AG136)</f>
        <v>161180</v>
      </c>
      <c r="AJ136" s="29"/>
    </row>
    <row r="137" spans="1:35" s="39" customFormat="1" ht="21" customHeight="1">
      <c r="A137" s="35" t="s">
        <v>43</v>
      </c>
      <c r="B137" s="36">
        <v>625734.16</v>
      </c>
      <c r="C137" s="68"/>
      <c r="D137" s="52"/>
      <c r="E137" s="68"/>
      <c r="F137" s="52"/>
      <c r="G137" s="68"/>
      <c r="H137" s="52"/>
      <c r="I137" s="68"/>
      <c r="J137" s="52"/>
      <c r="K137" s="68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68"/>
      <c r="Z137" s="52"/>
      <c r="AA137" s="52"/>
      <c r="AB137" s="52"/>
      <c r="AC137" s="52"/>
      <c r="AD137" s="52"/>
      <c r="AE137" s="53"/>
      <c r="AF137" s="27">
        <f>C137+D137+E137+F137+G137+H137+I137+J137+K137+L137+Y137+Z137+AA137+AD137+AE137</f>
        <v>0</v>
      </c>
      <c r="AG137" s="34">
        <f>B137+AF137</f>
        <v>625734.16</v>
      </c>
      <c r="AH137" s="51">
        <v>625830</v>
      </c>
      <c r="AI137" s="29">
        <f>SUM(AH137-AG137)</f>
        <v>95.8399999999674</v>
      </c>
    </row>
    <row r="138" spans="1:35" s="39" customFormat="1" ht="15" customHeight="1" hidden="1">
      <c r="A138" s="35" t="s">
        <v>32</v>
      </c>
      <c r="B138" s="36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3"/>
      <c r="AF138" s="34">
        <f>SUM(C138:AD138)</f>
        <v>0</v>
      </c>
      <c r="AG138" s="34">
        <f>B142+AF142</f>
        <v>0</v>
      </c>
      <c r="AH138" s="51"/>
      <c r="AI138" s="29"/>
    </row>
    <row r="139" spans="1:35" s="39" customFormat="1" ht="19.5" customHeight="1">
      <c r="A139" s="35" t="s">
        <v>27</v>
      </c>
      <c r="B139" s="36">
        <v>31320</v>
      </c>
      <c r="C139" s="68"/>
      <c r="D139" s="52"/>
      <c r="E139" s="68"/>
      <c r="F139" s="52"/>
      <c r="G139" s="68"/>
      <c r="H139" s="52"/>
      <c r="I139" s="68"/>
      <c r="J139" s="52"/>
      <c r="K139" s="68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68"/>
      <c r="Z139" s="52"/>
      <c r="AA139" s="52"/>
      <c r="AB139" s="52"/>
      <c r="AC139" s="52"/>
      <c r="AD139" s="52"/>
      <c r="AE139" s="53"/>
      <c r="AF139" s="27">
        <f>C139+D139+E139+F139+G139+H139+I139+J139+K139+L139+Y139+Z139+AA139+AD139+AE139</f>
        <v>0</v>
      </c>
      <c r="AG139" s="34">
        <f>B139+AF139</f>
        <v>31320</v>
      </c>
      <c r="AH139" s="51">
        <v>31320</v>
      </c>
      <c r="AI139" s="29">
        <f>SUM(AH139-AG139)</f>
        <v>0</v>
      </c>
    </row>
    <row r="140" spans="1:35" s="39" customFormat="1" ht="21.75" customHeight="1">
      <c r="A140" s="12" t="s">
        <v>8</v>
      </c>
      <c r="B140" s="36">
        <f>B135+B137+B139</f>
        <v>760934.16</v>
      </c>
      <c r="C140" s="36">
        <f>C137+C138</f>
        <v>0</v>
      </c>
      <c r="D140" s="36">
        <f>D135+D137</f>
        <v>0</v>
      </c>
      <c r="E140" s="36">
        <f aca="true" t="shared" si="37" ref="E140:X140">E137+E138</f>
        <v>0</v>
      </c>
      <c r="F140" s="36">
        <f>F135+F136+F137</f>
        <v>0</v>
      </c>
      <c r="G140" s="36">
        <f t="shared" si="37"/>
        <v>0</v>
      </c>
      <c r="H140" s="36">
        <f>H136+H137+H135</f>
        <v>0</v>
      </c>
      <c r="I140" s="36">
        <f t="shared" si="37"/>
        <v>0</v>
      </c>
      <c r="J140" s="36">
        <f>J137+J138+J135</f>
        <v>0</v>
      </c>
      <c r="K140" s="36">
        <f t="shared" si="37"/>
        <v>0</v>
      </c>
      <c r="L140" s="36">
        <f>L135+L137</f>
        <v>0</v>
      </c>
      <c r="M140" s="36">
        <f t="shared" si="37"/>
        <v>0</v>
      </c>
      <c r="N140" s="36">
        <f t="shared" si="37"/>
        <v>0</v>
      </c>
      <c r="O140" s="36">
        <f t="shared" si="37"/>
        <v>0</v>
      </c>
      <c r="P140" s="36">
        <f t="shared" si="37"/>
        <v>0</v>
      </c>
      <c r="Q140" s="36">
        <f t="shared" si="37"/>
        <v>0</v>
      </c>
      <c r="R140" s="36">
        <f t="shared" si="37"/>
        <v>0</v>
      </c>
      <c r="S140" s="36">
        <f t="shared" si="37"/>
        <v>0</v>
      </c>
      <c r="T140" s="36">
        <f t="shared" si="37"/>
        <v>0</v>
      </c>
      <c r="U140" s="36">
        <f t="shared" si="37"/>
        <v>0</v>
      </c>
      <c r="V140" s="36">
        <f t="shared" si="37"/>
        <v>0</v>
      </c>
      <c r="W140" s="36">
        <f t="shared" si="37"/>
        <v>0</v>
      </c>
      <c r="X140" s="36">
        <f t="shared" si="37"/>
        <v>0</v>
      </c>
      <c r="Y140" s="52"/>
      <c r="Z140" s="46">
        <f>Z135+Z137</f>
        <v>0</v>
      </c>
      <c r="AA140" s="52"/>
      <c r="AB140" s="52">
        <f>AB135+AB136+AB137</f>
        <v>0</v>
      </c>
      <c r="AC140" s="52"/>
      <c r="AD140" s="36">
        <f>AD137+AD138</f>
        <v>0</v>
      </c>
      <c r="AE140" s="46">
        <f>AE135+AE137</f>
        <v>0</v>
      </c>
      <c r="AF140" s="36">
        <f>AF135+AF137+AF136+AF139</f>
        <v>0</v>
      </c>
      <c r="AG140" s="34">
        <f>AG135+AG137+AG136+AG139</f>
        <v>760934.16</v>
      </c>
      <c r="AH140" s="58">
        <f>AH135+AH137+AH136+AH139</f>
        <v>968000</v>
      </c>
      <c r="AI140" s="29">
        <f>AI135+AI137+AI136</f>
        <v>207065.83999999997</v>
      </c>
    </row>
    <row r="141" spans="1:35" s="39" customFormat="1" ht="15" customHeight="1" hidden="1">
      <c r="A141" s="82" t="s">
        <v>53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36"/>
      <c r="AH141" s="36"/>
      <c r="AI141" s="29"/>
    </row>
    <row r="142" spans="1:35" s="39" customFormat="1" ht="15" customHeight="1" hidden="1">
      <c r="A142" s="35" t="s">
        <v>31</v>
      </c>
      <c r="B142" s="36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3"/>
      <c r="AF142" s="34">
        <f>SUM(C142:AD142)</f>
        <v>0</v>
      </c>
      <c r="AG142" s="21"/>
      <c r="AH142" s="51"/>
      <c r="AI142" s="55"/>
    </row>
    <row r="143" spans="1:35" s="39" customFormat="1" ht="15" customHeight="1" hidden="1">
      <c r="A143" s="35" t="s">
        <v>32</v>
      </c>
      <c r="B143" s="36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3"/>
      <c r="AF143" s="34">
        <f>SUM(C143:AD143)</f>
        <v>0</v>
      </c>
      <c r="AG143" s="34">
        <f>B146+AF146</f>
        <v>0</v>
      </c>
      <c r="AH143" s="51"/>
      <c r="AI143" s="29"/>
    </row>
    <row r="144" spans="1:35" s="39" customFormat="1" ht="15" customHeight="1" hidden="1">
      <c r="A144" s="12" t="s">
        <v>8</v>
      </c>
      <c r="B144" s="36">
        <f aca="true" t="shared" si="38" ref="B144:X144">B142+B143</f>
        <v>0</v>
      </c>
      <c r="C144" s="36">
        <f t="shared" si="38"/>
        <v>0</v>
      </c>
      <c r="D144" s="36">
        <f t="shared" si="38"/>
        <v>0</v>
      </c>
      <c r="E144" s="36">
        <f t="shared" si="38"/>
        <v>0</v>
      </c>
      <c r="F144" s="36">
        <f t="shared" si="38"/>
        <v>0</v>
      </c>
      <c r="G144" s="36">
        <f t="shared" si="38"/>
        <v>0</v>
      </c>
      <c r="H144" s="36">
        <f t="shared" si="38"/>
        <v>0</v>
      </c>
      <c r="I144" s="36">
        <f t="shared" si="38"/>
        <v>0</v>
      </c>
      <c r="J144" s="36">
        <f t="shared" si="38"/>
        <v>0</v>
      </c>
      <c r="K144" s="36">
        <f t="shared" si="38"/>
        <v>0</v>
      </c>
      <c r="L144" s="36">
        <f t="shared" si="38"/>
        <v>0</v>
      </c>
      <c r="M144" s="36">
        <f t="shared" si="38"/>
        <v>0</v>
      </c>
      <c r="N144" s="36">
        <f t="shared" si="38"/>
        <v>0</v>
      </c>
      <c r="O144" s="36">
        <f t="shared" si="38"/>
        <v>0</v>
      </c>
      <c r="P144" s="36">
        <f t="shared" si="38"/>
        <v>0</v>
      </c>
      <c r="Q144" s="36">
        <f t="shared" si="38"/>
        <v>0</v>
      </c>
      <c r="R144" s="36">
        <f t="shared" si="38"/>
        <v>0</v>
      </c>
      <c r="S144" s="36">
        <f t="shared" si="38"/>
        <v>0</v>
      </c>
      <c r="T144" s="36">
        <f t="shared" si="38"/>
        <v>0</v>
      </c>
      <c r="U144" s="36">
        <f t="shared" si="38"/>
        <v>0</v>
      </c>
      <c r="V144" s="36">
        <f t="shared" si="38"/>
        <v>0</v>
      </c>
      <c r="W144" s="36">
        <f t="shared" si="38"/>
        <v>0</v>
      </c>
      <c r="X144" s="36">
        <f t="shared" si="38"/>
        <v>0</v>
      </c>
      <c r="Y144" s="52"/>
      <c r="Z144" s="52"/>
      <c r="AA144" s="52"/>
      <c r="AB144" s="52"/>
      <c r="AC144" s="52"/>
      <c r="AD144" s="52"/>
      <c r="AE144" s="52"/>
      <c r="AF144" s="36">
        <f>AF142+AF143</f>
        <v>0</v>
      </c>
      <c r="AG144" s="34">
        <f>B147+AF147</f>
        <v>0</v>
      </c>
      <c r="AH144" s="51"/>
      <c r="AI144" s="29"/>
    </row>
    <row r="145" spans="1:35" s="39" customFormat="1" ht="15" customHeight="1" hidden="1">
      <c r="A145" s="82" t="s">
        <v>54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36"/>
      <c r="AH145" s="36"/>
      <c r="AI145" s="29"/>
    </row>
    <row r="146" spans="1:35" s="39" customFormat="1" ht="15" customHeight="1" hidden="1">
      <c r="A146" s="35" t="s">
        <v>51</v>
      </c>
      <c r="B146" s="36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3"/>
      <c r="AF146" s="34">
        <f>SUM(C146:AD146)</f>
        <v>0</v>
      </c>
      <c r="AG146" s="21"/>
      <c r="AH146" s="51"/>
      <c r="AI146" s="55"/>
    </row>
    <row r="147" spans="1:35" s="39" customFormat="1" ht="15" customHeight="1" hidden="1">
      <c r="A147" s="35" t="s">
        <v>40</v>
      </c>
      <c r="B147" s="36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3"/>
      <c r="AF147" s="34">
        <f>SUM(C147:AD147)</f>
        <v>0</v>
      </c>
      <c r="AG147" s="34">
        <f>B150+AF150</f>
        <v>0</v>
      </c>
      <c r="AH147" s="51"/>
      <c r="AI147" s="29"/>
    </row>
    <row r="148" spans="1:35" s="39" customFormat="1" ht="15" customHeight="1" hidden="1">
      <c r="A148" s="12" t="s">
        <v>8</v>
      </c>
      <c r="B148" s="36">
        <f>B146+B147</f>
        <v>0</v>
      </c>
      <c r="C148" s="36">
        <f aca="true" t="shared" si="39" ref="C148:X148">C146+C147</f>
        <v>0</v>
      </c>
      <c r="D148" s="36">
        <f t="shared" si="39"/>
        <v>0</v>
      </c>
      <c r="E148" s="36">
        <f t="shared" si="39"/>
        <v>0</v>
      </c>
      <c r="F148" s="36">
        <f t="shared" si="39"/>
        <v>0</v>
      </c>
      <c r="G148" s="36">
        <f t="shared" si="39"/>
        <v>0</v>
      </c>
      <c r="H148" s="36">
        <f t="shared" si="39"/>
        <v>0</v>
      </c>
      <c r="I148" s="36">
        <f t="shared" si="39"/>
        <v>0</v>
      </c>
      <c r="J148" s="36">
        <f t="shared" si="39"/>
        <v>0</v>
      </c>
      <c r="K148" s="36">
        <f t="shared" si="39"/>
        <v>0</v>
      </c>
      <c r="L148" s="36">
        <f t="shared" si="39"/>
        <v>0</v>
      </c>
      <c r="M148" s="36">
        <f t="shared" si="39"/>
        <v>0</v>
      </c>
      <c r="N148" s="36">
        <f t="shared" si="39"/>
        <v>0</v>
      </c>
      <c r="O148" s="36">
        <f t="shared" si="39"/>
        <v>0</v>
      </c>
      <c r="P148" s="36">
        <f t="shared" si="39"/>
        <v>0</v>
      </c>
      <c r="Q148" s="36">
        <f t="shared" si="39"/>
        <v>0</v>
      </c>
      <c r="R148" s="36">
        <f t="shared" si="39"/>
        <v>0</v>
      </c>
      <c r="S148" s="36">
        <f t="shared" si="39"/>
        <v>0</v>
      </c>
      <c r="T148" s="36">
        <f t="shared" si="39"/>
        <v>0</v>
      </c>
      <c r="U148" s="36">
        <f t="shared" si="39"/>
        <v>0</v>
      </c>
      <c r="V148" s="36">
        <f t="shared" si="39"/>
        <v>0</v>
      </c>
      <c r="W148" s="36">
        <f t="shared" si="39"/>
        <v>0</v>
      </c>
      <c r="X148" s="36">
        <f t="shared" si="39"/>
        <v>0</v>
      </c>
      <c r="Y148" s="52"/>
      <c r="Z148" s="52"/>
      <c r="AA148" s="52"/>
      <c r="AB148" s="52"/>
      <c r="AC148" s="52"/>
      <c r="AD148" s="52"/>
      <c r="AE148" s="52"/>
      <c r="AF148" s="36">
        <f>AF146+AF147</f>
        <v>0</v>
      </c>
      <c r="AG148" s="36">
        <f>AG147</f>
        <v>0</v>
      </c>
      <c r="AH148" s="36">
        <f>AH147</f>
        <v>0</v>
      </c>
      <c r="AI148" s="29">
        <f>AH148-AG148</f>
        <v>0</v>
      </c>
    </row>
    <row r="149" spans="1:35" s="39" customFormat="1" ht="15" customHeight="1" hidden="1">
      <c r="A149" s="82" t="s">
        <v>55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21"/>
      <c r="AH149" s="51"/>
      <c r="AI149" s="22"/>
    </row>
    <row r="150" spans="1:35" s="39" customFormat="1" ht="15" customHeight="1" hidden="1">
      <c r="A150" s="35" t="s">
        <v>31</v>
      </c>
      <c r="B150" s="36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3"/>
      <c r="AF150" s="34">
        <f>SUM(C150:AD150)</f>
        <v>0</v>
      </c>
      <c r="AG150" s="34">
        <f>B161+AF161</f>
        <v>19086</v>
      </c>
      <c r="AH150" s="59"/>
      <c r="AI150" s="29"/>
    </row>
    <row r="151" spans="1:35" s="39" customFormat="1" ht="15" customHeight="1" hidden="1">
      <c r="A151" s="12" t="s">
        <v>8</v>
      </c>
      <c r="B151" s="36">
        <f aca="true" t="shared" si="40" ref="B151:X151">B150</f>
        <v>0</v>
      </c>
      <c r="C151" s="36">
        <f t="shared" si="40"/>
        <v>0</v>
      </c>
      <c r="D151" s="36">
        <f t="shared" si="40"/>
        <v>0</v>
      </c>
      <c r="E151" s="36">
        <f t="shared" si="40"/>
        <v>0</v>
      </c>
      <c r="F151" s="36">
        <f t="shared" si="40"/>
        <v>0</v>
      </c>
      <c r="G151" s="36">
        <f t="shared" si="40"/>
        <v>0</v>
      </c>
      <c r="H151" s="36">
        <f t="shared" si="40"/>
        <v>0</v>
      </c>
      <c r="I151" s="36">
        <f t="shared" si="40"/>
        <v>0</v>
      </c>
      <c r="J151" s="36">
        <f t="shared" si="40"/>
        <v>0</v>
      </c>
      <c r="K151" s="36">
        <f t="shared" si="40"/>
        <v>0</v>
      </c>
      <c r="L151" s="36">
        <f t="shared" si="40"/>
        <v>0</v>
      </c>
      <c r="M151" s="36">
        <f t="shared" si="40"/>
        <v>0</v>
      </c>
      <c r="N151" s="36">
        <f t="shared" si="40"/>
        <v>0</v>
      </c>
      <c r="O151" s="36">
        <f t="shared" si="40"/>
        <v>0</v>
      </c>
      <c r="P151" s="36">
        <f t="shared" si="40"/>
        <v>0</v>
      </c>
      <c r="Q151" s="36">
        <f t="shared" si="40"/>
        <v>0</v>
      </c>
      <c r="R151" s="36">
        <f t="shared" si="40"/>
        <v>0</v>
      </c>
      <c r="S151" s="36">
        <f t="shared" si="40"/>
        <v>0</v>
      </c>
      <c r="T151" s="36">
        <f t="shared" si="40"/>
        <v>0</v>
      </c>
      <c r="U151" s="36">
        <f t="shared" si="40"/>
        <v>0</v>
      </c>
      <c r="V151" s="36">
        <f t="shared" si="40"/>
        <v>0</v>
      </c>
      <c r="W151" s="36">
        <f t="shared" si="40"/>
        <v>0</v>
      </c>
      <c r="X151" s="36">
        <f t="shared" si="40"/>
        <v>0</v>
      </c>
      <c r="Y151" s="52"/>
      <c r="Z151" s="52"/>
      <c r="AA151" s="52"/>
      <c r="AB151" s="52"/>
      <c r="AC151" s="52"/>
      <c r="AD151" s="52"/>
      <c r="AE151" s="52"/>
      <c r="AF151" s="36">
        <f>AF150</f>
        <v>0</v>
      </c>
      <c r="AG151" s="34">
        <f>B162+AF162</f>
        <v>161703.5</v>
      </c>
      <c r="AH151" s="59"/>
      <c r="AI151" s="29"/>
    </row>
    <row r="152" spans="1:35" s="39" customFormat="1" ht="15" customHeight="1">
      <c r="A152" s="82" t="s">
        <v>56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34"/>
      <c r="AH152" s="59"/>
      <c r="AI152" s="29"/>
    </row>
    <row r="153" spans="1:35" s="39" customFormat="1" ht="18" customHeight="1">
      <c r="A153" s="35" t="s">
        <v>25</v>
      </c>
      <c r="B153" s="36">
        <v>30200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40"/>
      <c r="AF153" s="27">
        <f>SUM(C153:AD153)</f>
        <v>0</v>
      </c>
      <c r="AG153" s="36">
        <f>SUM(B153+AF153)</f>
        <v>30200</v>
      </c>
      <c r="AH153" s="51">
        <v>30200</v>
      </c>
      <c r="AI153" s="29">
        <f>SUM(AH153-AG153)</f>
        <v>0</v>
      </c>
    </row>
    <row r="154" spans="1:35" s="39" customFormat="1" ht="18.75" customHeight="1">
      <c r="A154" s="12" t="s">
        <v>8</v>
      </c>
      <c r="B154" s="46">
        <f>B153</f>
        <v>30200</v>
      </c>
      <c r="C154" s="43">
        <f>C153</f>
        <v>0</v>
      </c>
      <c r="D154" s="43">
        <f aca="true" t="shared" si="41" ref="D154:Z154">D153</f>
        <v>0</v>
      </c>
      <c r="E154" s="43">
        <f t="shared" si="41"/>
        <v>0</v>
      </c>
      <c r="F154" s="43">
        <f t="shared" si="41"/>
        <v>0</v>
      </c>
      <c r="G154" s="43">
        <f t="shared" si="41"/>
        <v>0</v>
      </c>
      <c r="H154" s="43">
        <f t="shared" si="41"/>
        <v>0</v>
      </c>
      <c r="I154" s="43">
        <f t="shared" si="41"/>
        <v>0</v>
      </c>
      <c r="J154" s="43">
        <f t="shared" si="41"/>
        <v>0</v>
      </c>
      <c r="K154" s="43">
        <f t="shared" si="41"/>
        <v>0</v>
      </c>
      <c r="L154" s="43">
        <f t="shared" si="41"/>
        <v>0</v>
      </c>
      <c r="M154" s="43">
        <f t="shared" si="41"/>
        <v>0</v>
      </c>
      <c r="N154" s="43">
        <f t="shared" si="41"/>
        <v>0</v>
      </c>
      <c r="O154" s="43">
        <f t="shared" si="41"/>
        <v>0</v>
      </c>
      <c r="P154" s="43">
        <f t="shared" si="41"/>
        <v>0</v>
      </c>
      <c r="Q154" s="43">
        <f t="shared" si="41"/>
        <v>0</v>
      </c>
      <c r="R154" s="43">
        <f t="shared" si="41"/>
        <v>0</v>
      </c>
      <c r="S154" s="43">
        <f t="shared" si="41"/>
        <v>0</v>
      </c>
      <c r="T154" s="43">
        <f t="shared" si="41"/>
        <v>0</v>
      </c>
      <c r="U154" s="43">
        <f t="shared" si="41"/>
        <v>0</v>
      </c>
      <c r="V154" s="43">
        <f t="shared" si="41"/>
        <v>0</v>
      </c>
      <c r="W154" s="43">
        <f t="shared" si="41"/>
        <v>0</v>
      </c>
      <c r="X154" s="43">
        <f t="shared" si="41"/>
        <v>0</v>
      </c>
      <c r="Y154" s="43">
        <f t="shared" si="41"/>
        <v>0</v>
      </c>
      <c r="Z154" s="43">
        <f t="shared" si="41"/>
        <v>0</v>
      </c>
      <c r="AA154" s="43"/>
      <c r="AB154" s="43"/>
      <c r="AC154" s="43"/>
      <c r="AD154" s="43"/>
      <c r="AE154" s="44"/>
      <c r="AF154" s="27">
        <f>SUM(C154:AD154)</f>
        <v>0</v>
      </c>
      <c r="AG154" s="34">
        <f>AG153</f>
        <v>30200</v>
      </c>
      <c r="AH154" s="59">
        <f>AH153</f>
        <v>30200</v>
      </c>
      <c r="AI154" s="29">
        <f>AI153</f>
        <v>0</v>
      </c>
    </row>
    <row r="155" spans="1:35" s="39" customFormat="1" ht="18.75" customHeight="1">
      <c r="A155" s="82" t="s">
        <v>74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34"/>
      <c r="AH155" s="59"/>
      <c r="AI155" s="29"/>
    </row>
    <row r="156" spans="1:35" s="39" customFormat="1" ht="18.75" customHeight="1">
      <c r="A156" s="35" t="s">
        <v>75</v>
      </c>
      <c r="B156" s="36">
        <v>1481412.81</v>
      </c>
      <c r="C156" s="38"/>
      <c r="D156" s="38"/>
      <c r="E156" s="38"/>
      <c r="F156" s="38">
        <v>58787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>
        <v>50933.82</v>
      </c>
      <c r="Z156" s="38"/>
      <c r="AA156" s="38"/>
      <c r="AB156" s="38"/>
      <c r="AC156" s="38"/>
      <c r="AD156" s="38"/>
      <c r="AE156" s="40"/>
      <c r="AF156" s="27">
        <f>SUM(C156:AD156)</f>
        <v>109720.82</v>
      </c>
      <c r="AG156" s="36">
        <f>SUM(B156+AF156)</f>
        <v>1591133.6300000001</v>
      </c>
      <c r="AH156" s="51">
        <v>1709800</v>
      </c>
      <c r="AI156" s="29">
        <f>SUM(AH156-AG156)</f>
        <v>118666.36999999988</v>
      </c>
    </row>
    <row r="157" spans="1:35" s="39" customFormat="1" ht="18.75" customHeight="1">
      <c r="A157" s="12" t="s">
        <v>8</v>
      </c>
      <c r="B157" s="46">
        <f>B156</f>
        <v>1481412.81</v>
      </c>
      <c r="C157" s="43">
        <f>C156</f>
        <v>0</v>
      </c>
      <c r="D157" s="43">
        <f aca="true" t="shared" si="42" ref="D157:Z157">D156</f>
        <v>0</v>
      </c>
      <c r="E157" s="43">
        <f t="shared" si="42"/>
        <v>0</v>
      </c>
      <c r="F157" s="43">
        <f t="shared" si="42"/>
        <v>58787</v>
      </c>
      <c r="G157" s="43">
        <f t="shared" si="42"/>
        <v>0</v>
      </c>
      <c r="H157" s="43">
        <f t="shared" si="42"/>
        <v>0</v>
      </c>
      <c r="I157" s="43">
        <f t="shared" si="42"/>
        <v>0</v>
      </c>
      <c r="J157" s="43">
        <f t="shared" si="42"/>
        <v>0</v>
      </c>
      <c r="K157" s="43">
        <f t="shared" si="42"/>
        <v>0</v>
      </c>
      <c r="L157" s="43">
        <f t="shared" si="42"/>
        <v>0</v>
      </c>
      <c r="M157" s="43">
        <f t="shared" si="42"/>
        <v>0</v>
      </c>
      <c r="N157" s="43">
        <f t="shared" si="42"/>
        <v>0</v>
      </c>
      <c r="O157" s="43">
        <f t="shared" si="42"/>
        <v>0</v>
      </c>
      <c r="P157" s="43">
        <f t="shared" si="42"/>
        <v>0</v>
      </c>
      <c r="Q157" s="43">
        <f t="shared" si="42"/>
        <v>0</v>
      </c>
      <c r="R157" s="43">
        <f t="shared" si="42"/>
        <v>0</v>
      </c>
      <c r="S157" s="43">
        <f t="shared" si="42"/>
        <v>0</v>
      </c>
      <c r="T157" s="43">
        <f t="shared" si="42"/>
        <v>0</v>
      </c>
      <c r="U157" s="43">
        <f t="shared" si="42"/>
        <v>0</v>
      </c>
      <c r="V157" s="43">
        <f t="shared" si="42"/>
        <v>0</v>
      </c>
      <c r="W157" s="43">
        <f t="shared" si="42"/>
        <v>0</v>
      </c>
      <c r="X157" s="43">
        <f t="shared" si="42"/>
        <v>0</v>
      </c>
      <c r="Y157" s="43">
        <f t="shared" si="42"/>
        <v>50933.82</v>
      </c>
      <c r="Z157" s="43">
        <f t="shared" si="42"/>
        <v>0</v>
      </c>
      <c r="AA157" s="43"/>
      <c r="AB157" s="43"/>
      <c r="AC157" s="43"/>
      <c r="AD157" s="43"/>
      <c r="AE157" s="44"/>
      <c r="AF157" s="27">
        <f>SUM(C157:AD157)</f>
        <v>109720.82</v>
      </c>
      <c r="AG157" s="34">
        <f>AG156</f>
        <v>1591133.6300000001</v>
      </c>
      <c r="AH157" s="59">
        <f>AH156</f>
        <v>1709800</v>
      </c>
      <c r="AI157" s="29">
        <f>AI156</f>
        <v>118666.36999999988</v>
      </c>
    </row>
    <row r="158" spans="1:35" s="39" customFormat="1" ht="18.75" customHeight="1">
      <c r="A158" s="82" t="s">
        <v>73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36"/>
      <c r="AH158" s="36"/>
      <c r="AI158" s="29"/>
    </row>
    <row r="159" spans="1:35" s="39" customFormat="1" ht="20.25" customHeight="1">
      <c r="A159" s="35" t="s">
        <v>20</v>
      </c>
      <c r="B159" s="36">
        <v>266384.95</v>
      </c>
      <c r="C159" s="52"/>
      <c r="D159" s="52"/>
      <c r="E159" s="52"/>
      <c r="F159" s="52"/>
      <c r="G159" s="52"/>
      <c r="H159" s="52"/>
      <c r="I159" s="52"/>
      <c r="J159" s="52"/>
      <c r="K159" s="52">
        <v>24246.92</v>
      </c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3"/>
      <c r="AF159" s="34">
        <f>SUM(C159:AD159)+AE159</f>
        <v>24246.92</v>
      </c>
      <c r="AG159" s="57">
        <f>B159+AF159</f>
        <v>290631.87</v>
      </c>
      <c r="AH159" s="58">
        <f>375000+15500</f>
        <v>390500</v>
      </c>
      <c r="AI159" s="29">
        <f>SUM(AH159-AG159)</f>
        <v>99868.13</v>
      </c>
    </row>
    <row r="160" spans="1:35" s="39" customFormat="1" ht="20.25" customHeight="1">
      <c r="A160" s="35" t="s">
        <v>24</v>
      </c>
      <c r="B160" s="36">
        <v>95449.01</v>
      </c>
      <c r="C160" s="52"/>
      <c r="D160" s="52">
        <v>3054</v>
      </c>
      <c r="E160" s="52">
        <v>1516.02</v>
      </c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>
        <v>3054</v>
      </c>
      <c r="AB160" s="52">
        <v>1516.02</v>
      </c>
      <c r="AC160" s="52"/>
      <c r="AD160" s="52"/>
      <c r="AE160" s="53"/>
      <c r="AF160" s="34">
        <f>SUM(C160:AD160)+AE160</f>
        <v>9140.04</v>
      </c>
      <c r="AG160" s="57">
        <f>B160+AF160</f>
        <v>104589.04999999999</v>
      </c>
      <c r="AH160" s="58">
        <f>100400+14500</f>
        <v>114900</v>
      </c>
      <c r="AI160" s="29">
        <f>SUM(AH160-AG160)</f>
        <v>10310.950000000012</v>
      </c>
    </row>
    <row r="161" spans="1:35" s="39" customFormat="1" ht="19.5" customHeight="1">
      <c r="A161" s="35" t="s">
        <v>25</v>
      </c>
      <c r="B161" s="36">
        <v>19086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3"/>
      <c r="AF161" s="34">
        <f>SUM(C161:AD161)+AE161</f>
        <v>0</v>
      </c>
      <c r="AG161" s="57">
        <f>B161+AF161</f>
        <v>19086</v>
      </c>
      <c r="AH161" s="58">
        <v>19150</v>
      </c>
      <c r="AI161" s="29">
        <f>SUM(AH161-AG161)</f>
        <v>64</v>
      </c>
    </row>
    <row r="162" spans="1:35" s="39" customFormat="1" ht="18" customHeight="1">
      <c r="A162" s="35" t="s">
        <v>27</v>
      </c>
      <c r="B162" s="36">
        <v>160721</v>
      </c>
      <c r="C162" s="52"/>
      <c r="D162" s="52"/>
      <c r="E162" s="52"/>
      <c r="F162" s="52"/>
      <c r="G162" s="52"/>
      <c r="H162" s="52">
        <v>982.5</v>
      </c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3"/>
      <c r="AF162" s="34">
        <f>SUM(C162:AD162)+AE162</f>
        <v>982.5</v>
      </c>
      <c r="AG162" s="57">
        <f>B162+AF162</f>
        <v>161703.5</v>
      </c>
      <c r="AH162" s="36">
        <v>163600</v>
      </c>
      <c r="AI162" s="29">
        <f>SUM(AH162-AG162)</f>
        <v>1896.5</v>
      </c>
    </row>
    <row r="163" spans="1:35" s="39" customFormat="1" ht="16.5" customHeight="1">
      <c r="A163" s="12" t="s">
        <v>8</v>
      </c>
      <c r="B163" s="36">
        <f>SUM(B159:B162)</f>
        <v>541640.96</v>
      </c>
      <c r="C163" s="36">
        <f aca="true" t="shared" si="43" ref="C163:AE163">SUM(C159:C162)</f>
        <v>0</v>
      </c>
      <c r="D163" s="36">
        <f t="shared" si="43"/>
        <v>3054</v>
      </c>
      <c r="E163" s="36">
        <f t="shared" si="43"/>
        <v>1516.02</v>
      </c>
      <c r="F163" s="36">
        <f t="shared" si="43"/>
        <v>0</v>
      </c>
      <c r="G163" s="36">
        <f t="shared" si="43"/>
        <v>0</v>
      </c>
      <c r="H163" s="36">
        <f t="shared" si="43"/>
        <v>982.5</v>
      </c>
      <c r="I163" s="36">
        <f t="shared" si="43"/>
        <v>0</v>
      </c>
      <c r="J163" s="36">
        <f t="shared" si="43"/>
        <v>0</v>
      </c>
      <c r="K163" s="36">
        <f t="shared" si="43"/>
        <v>24246.92</v>
      </c>
      <c r="L163" s="36">
        <f t="shared" si="43"/>
        <v>0</v>
      </c>
      <c r="M163" s="36">
        <f t="shared" si="43"/>
        <v>0</v>
      </c>
      <c r="N163" s="36">
        <f t="shared" si="43"/>
        <v>0</v>
      </c>
      <c r="O163" s="36">
        <f t="shared" si="43"/>
        <v>0</v>
      </c>
      <c r="P163" s="36">
        <f t="shared" si="43"/>
        <v>0</v>
      </c>
      <c r="Q163" s="36">
        <f t="shared" si="43"/>
        <v>0</v>
      </c>
      <c r="R163" s="36">
        <f t="shared" si="43"/>
        <v>0</v>
      </c>
      <c r="S163" s="36">
        <f t="shared" si="43"/>
        <v>0</v>
      </c>
      <c r="T163" s="36">
        <f t="shared" si="43"/>
        <v>0</v>
      </c>
      <c r="U163" s="36">
        <f t="shared" si="43"/>
        <v>0</v>
      </c>
      <c r="V163" s="36">
        <f t="shared" si="43"/>
        <v>0</v>
      </c>
      <c r="W163" s="36">
        <f t="shared" si="43"/>
        <v>0</v>
      </c>
      <c r="X163" s="36">
        <f t="shared" si="43"/>
        <v>0</v>
      </c>
      <c r="Y163" s="36">
        <f t="shared" si="43"/>
        <v>0</v>
      </c>
      <c r="Z163" s="36">
        <f t="shared" si="43"/>
        <v>0</v>
      </c>
      <c r="AA163" s="36">
        <f t="shared" si="43"/>
        <v>3054</v>
      </c>
      <c r="AB163" s="36">
        <f t="shared" si="43"/>
        <v>1516.02</v>
      </c>
      <c r="AC163" s="36">
        <f t="shared" si="43"/>
        <v>0</v>
      </c>
      <c r="AD163" s="36">
        <f t="shared" si="43"/>
        <v>0</v>
      </c>
      <c r="AE163" s="36">
        <f t="shared" si="43"/>
        <v>0</v>
      </c>
      <c r="AF163" s="36">
        <f>SUM(AF159:AF162)</f>
        <v>34369.46</v>
      </c>
      <c r="AG163" s="34">
        <f>AG159+AG161+AG162+AG160</f>
        <v>576010.4199999999</v>
      </c>
      <c r="AH163" s="34">
        <f>AH159+AH161+AH162+AH160</f>
        <v>688150</v>
      </c>
      <c r="AI163" s="34">
        <f>AI159+AI161+AI162+AI160</f>
        <v>112139.58000000002</v>
      </c>
    </row>
    <row r="164" spans="1:35" s="39" customFormat="1" ht="15" customHeight="1" hidden="1">
      <c r="A164" s="82" t="s">
        <v>57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29"/>
      <c r="AH164" s="60"/>
      <c r="AI164" s="60"/>
    </row>
    <row r="165" spans="1:35" s="39" customFormat="1" ht="15" customHeight="1" hidden="1">
      <c r="A165" s="35" t="s">
        <v>35</v>
      </c>
      <c r="B165" s="36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3"/>
      <c r="AF165" s="34">
        <f>SUM(C165:AD165)</f>
        <v>0</v>
      </c>
      <c r="AG165" s="21"/>
      <c r="AH165" s="51"/>
      <c r="AI165" s="58"/>
    </row>
    <row r="166" spans="1:35" s="39" customFormat="1" ht="15" customHeight="1" hidden="1">
      <c r="A166" s="35" t="s">
        <v>36</v>
      </c>
      <c r="B166" s="60"/>
      <c r="C166" s="52"/>
      <c r="D166" s="61"/>
      <c r="E166" s="52"/>
      <c r="F166" s="52"/>
      <c r="G166" s="52"/>
      <c r="H166" s="52"/>
      <c r="I166" s="61"/>
      <c r="J166" s="61"/>
      <c r="K166" s="61"/>
      <c r="L166" s="52"/>
      <c r="M166" s="52"/>
      <c r="N166" s="52"/>
      <c r="O166" s="61"/>
      <c r="P166" s="52"/>
      <c r="Q166" s="61"/>
      <c r="R166" s="52"/>
      <c r="S166" s="61"/>
      <c r="T166" s="52"/>
      <c r="U166" s="61"/>
      <c r="V166" s="52"/>
      <c r="W166" s="61"/>
      <c r="X166" s="52"/>
      <c r="Y166" s="52"/>
      <c r="Z166" s="52"/>
      <c r="AA166" s="52"/>
      <c r="AB166" s="52"/>
      <c r="AC166" s="52"/>
      <c r="AD166" s="52"/>
      <c r="AE166" s="53"/>
      <c r="AF166" s="34">
        <f>SUM(C166:AD166)</f>
        <v>0</v>
      </c>
      <c r="AG166" s="34"/>
      <c r="AH166" s="51"/>
      <c r="AI166" s="29"/>
    </row>
    <row r="167" spans="1:35" s="39" customFormat="1" ht="15" customHeight="1" hidden="1">
      <c r="A167" s="12" t="s">
        <v>8</v>
      </c>
      <c r="B167" s="60">
        <f>B165+B166</f>
        <v>0</v>
      </c>
      <c r="C167" s="36">
        <f aca="true" t="shared" si="44" ref="C167:X167">C165+C166</f>
        <v>0</v>
      </c>
      <c r="D167" s="36">
        <f t="shared" si="44"/>
        <v>0</v>
      </c>
      <c r="E167" s="36">
        <f t="shared" si="44"/>
        <v>0</v>
      </c>
      <c r="F167" s="36">
        <f t="shared" si="44"/>
        <v>0</v>
      </c>
      <c r="G167" s="36">
        <f t="shared" si="44"/>
        <v>0</v>
      </c>
      <c r="H167" s="36">
        <f t="shared" si="44"/>
        <v>0</v>
      </c>
      <c r="I167" s="36">
        <f t="shared" si="44"/>
        <v>0</v>
      </c>
      <c r="J167" s="36">
        <f t="shared" si="44"/>
        <v>0</v>
      </c>
      <c r="K167" s="36">
        <f t="shared" si="44"/>
        <v>0</v>
      </c>
      <c r="L167" s="36">
        <f t="shared" si="44"/>
        <v>0</v>
      </c>
      <c r="M167" s="36">
        <f t="shared" si="44"/>
        <v>0</v>
      </c>
      <c r="N167" s="36">
        <f t="shared" si="44"/>
        <v>0</v>
      </c>
      <c r="O167" s="36">
        <f t="shared" si="44"/>
        <v>0</v>
      </c>
      <c r="P167" s="36">
        <f t="shared" si="44"/>
        <v>0</v>
      </c>
      <c r="Q167" s="36">
        <f t="shared" si="44"/>
        <v>0</v>
      </c>
      <c r="R167" s="36">
        <f t="shared" si="44"/>
        <v>0</v>
      </c>
      <c r="S167" s="36">
        <f t="shared" si="44"/>
        <v>0</v>
      </c>
      <c r="T167" s="36">
        <f t="shared" si="44"/>
        <v>0</v>
      </c>
      <c r="U167" s="36">
        <f t="shared" si="44"/>
        <v>0</v>
      </c>
      <c r="V167" s="36">
        <f t="shared" si="44"/>
        <v>0</v>
      </c>
      <c r="W167" s="36">
        <f t="shared" si="44"/>
        <v>0</v>
      </c>
      <c r="X167" s="36">
        <f t="shared" si="44"/>
        <v>0</v>
      </c>
      <c r="Y167" s="52">
        <f>Y165+Y166</f>
        <v>0</v>
      </c>
      <c r="Z167" s="52">
        <f>Z165+Z166</f>
        <v>0</v>
      </c>
      <c r="AA167" s="52">
        <f>AA165+AA166</f>
        <v>0</v>
      </c>
      <c r="AB167" s="52"/>
      <c r="AC167" s="52"/>
      <c r="AD167" s="52">
        <f>AD165+AD166</f>
        <v>0</v>
      </c>
      <c r="AE167" s="53"/>
      <c r="AF167" s="34">
        <f>AF165+AF166</f>
        <v>0</v>
      </c>
      <c r="AG167" s="34"/>
      <c r="AH167" s="51"/>
      <c r="AI167" s="29"/>
    </row>
    <row r="168" spans="1:35" s="39" customFormat="1" ht="15.75" customHeight="1">
      <c r="A168" s="82" t="s">
        <v>58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34"/>
      <c r="AH168" s="51"/>
      <c r="AI168" s="29"/>
    </row>
    <row r="169" spans="1:35" s="39" customFormat="1" ht="22.5" customHeight="1">
      <c r="A169" s="35" t="s">
        <v>24</v>
      </c>
      <c r="B169" s="36">
        <v>77045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3"/>
      <c r="AF169" s="34">
        <f>SUM(C169:AD169)</f>
        <v>0</v>
      </c>
      <c r="AG169" s="36">
        <f>SUM(B169+AF169)</f>
        <v>77045</v>
      </c>
      <c r="AH169" s="36">
        <v>77045</v>
      </c>
      <c r="AI169" s="29">
        <f>AH169-AG169</f>
        <v>0</v>
      </c>
    </row>
    <row r="170" spans="1:35" s="39" customFormat="1" ht="18.75" customHeight="1">
      <c r="A170" s="35" t="s">
        <v>25</v>
      </c>
      <c r="B170" s="36">
        <v>3687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74"/>
      <c r="AB170" s="74"/>
      <c r="AC170" s="52"/>
      <c r="AD170" s="52"/>
      <c r="AE170" s="53"/>
      <c r="AF170" s="34">
        <f>SUM(C170:AD170)</f>
        <v>0</v>
      </c>
      <c r="AG170" s="36">
        <f>SUM(B170+AF170)</f>
        <v>3687</v>
      </c>
      <c r="AH170" s="51">
        <v>3687</v>
      </c>
      <c r="AI170" s="29">
        <f>AH170-AG170</f>
        <v>0</v>
      </c>
    </row>
    <row r="171" spans="1:35" s="39" customFormat="1" ht="18.75" customHeight="1">
      <c r="A171" s="35" t="s">
        <v>43</v>
      </c>
      <c r="B171" s="36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3"/>
      <c r="AF171" s="34">
        <f>SUM(C171:AD171)</f>
        <v>0</v>
      </c>
      <c r="AG171" s="36">
        <f>SUM(B171+AF171)</f>
        <v>0</v>
      </c>
      <c r="AH171" s="51"/>
      <c r="AI171" s="29">
        <f>AH171-AG171</f>
        <v>0</v>
      </c>
    </row>
    <row r="172" spans="1:35" s="39" customFormat="1" ht="18.75" customHeight="1">
      <c r="A172" s="35" t="s">
        <v>27</v>
      </c>
      <c r="B172" s="36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3"/>
      <c r="AF172" s="34">
        <f>SUM(C172:AD172)</f>
        <v>0</v>
      </c>
      <c r="AG172" s="36">
        <f>SUM(B172+AF172)</f>
        <v>0</v>
      </c>
      <c r="AH172" s="51">
        <v>0</v>
      </c>
      <c r="AI172" s="29">
        <f>AH172-AG172</f>
        <v>0</v>
      </c>
    </row>
    <row r="173" spans="1:35" s="39" customFormat="1" ht="21" customHeight="1">
      <c r="A173" s="12" t="s">
        <v>8</v>
      </c>
      <c r="B173" s="36">
        <f>B169+B170+B172+B171</f>
        <v>80732</v>
      </c>
      <c r="C173" s="36">
        <f aca="true" t="shared" si="45" ref="C173:X173">C169+C170+C172</f>
        <v>0</v>
      </c>
      <c r="D173" s="36">
        <f t="shared" si="45"/>
        <v>0</v>
      </c>
      <c r="E173" s="36">
        <f t="shared" si="45"/>
        <v>0</v>
      </c>
      <c r="F173" s="36">
        <f t="shared" si="45"/>
        <v>0</v>
      </c>
      <c r="G173" s="36">
        <f t="shared" si="45"/>
        <v>0</v>
      </c>
      <c r="H173" s="36">
        <f t="shared" si="45"/>
        <v>0</v>
      </c>
      <c r="I173" s="36">
        <f>I169+I170+I172+I171</f>
        <v>0</v>
      </c>
      <c r="J173" s="36">
        <f t="shared" si="45"/>
        <v>0</v>
      </c>
      <c r="K173" s="36">
        <f t="shared" si="45"/>
        <v>0</v>
      </c>
      <c r="L173" s="36">
        <f t="shared" si="45"/>
        <v>0</v>
      </c>
      <c r="M173" s="36">
        <f t="shared" si="45"/>
        <v>0</v>
      </c>
      <c r="N173" s="36">
        <f t="shared" si="45"/>
        <v>0</v>
      </c>
      <c r="O173" s="36">
        <f t="shared" si="45"/>
        <v>0</v>
      </c>
      <c r="P173" s="36">
        <f t="shared" si="45"/>
        <v>0</v>
      </c>
      <c r="Q173" s="36">
        <f t="shared" si="45"/>
        <v>0</v>
      </c>
      <c r="R173" s="36">
        <f t="shared" si="45"/>
        <v>0</v>
      </c>
      <c r="S173" s="36">
        <f t="shared" si="45"/>
        <v>0</v>
      </c>
      <c r="T173" s="36">
        <f t="shared" si="45"/>
        <v>0</v>
      </c>
      <c r="U173" s="36">
        <f t="shared" si="45"/>
        <v>0</v>
      </c>
      <c r="V173" s="36">
        <f t="shared" si="45"/>
        <v>0</v>
      </c>
      <c r="W173" s="36">
        <f t="shared" si="45"/>
        <v>0</v>
      </c>
      <c r="X173" s="36">
        <f t="shared" si="45"/>
        <v>0</v>
      </c>
      <c r="Y173" s="46">
        <f>Y169+Y170+Y172</f>
        <v>0</v>
      </c>
      <c r="Z173" s="46">
        <f>Z169+Z170+Z172</f>
        <v>0</v>
      </c>
      <c r="AA173" s="46">
        <f>AA169+AA170+AA172</f>
        <v>0</v>
      </c>
      <c r="AB173" s="46"/>
      <c r="AC173" s="46"/>
      <c r="AD173" s="46">
        <f>SUM(AD169:AD172)</f>
        <v>0</v>
      </c>
      <c r="AE173" s="46"/>
      <c r="AF173" s="36">
        <f>AF169+AF170+AF172</f>
        <v>0</v>
      </c>
      <c r="AG173" s="34">
        <f>SUM(AG169:AG172)</f>
        <v>80732</v>
      </c>
      <c r="AH173" s="34">
        <f>SUM(AH169:AH172)</f>
        <v>80732</v>
      </c>
      <c r="AI173" s="34">
        <f>SUM(AI169:AI172)</f>
        <v>0</v>
      </c>
    </row>
    <row r="174" spans="1:35" s="39" customFormat="1" ht="15" customHeight="1">
      <c r="A174" s="82" t="s">
        <v>59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34"/>
      <c r="AH174" s="51"/>
      <c r="AI174" s="29"/>
    </row>
    <row r="175" spans="1:35" s="39" customFormat="1" ht="20.25" customHeight="1">
      <c r="A175" s="23" t="s">
        <v>24</v>
      </c>
      <c r="B175" s="29">
        <v>119747</v>
      </c>
      <c r="C175" s="6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3"/>
      <c r="AF175" s="34">
        <f>SUM(C175:AD175)+AE175</f>
        <v>0</v>
      </c>
      <c r="AG175" s="34">
        <f aca="true" t="shared" si="46" ref="AG175:AG180">B175+AF175</f>
        <v>119747</v>
      </c>
      <c r="AH175" s="51">
        <v>287145.36</v>
      </c>
      <c r="AI175" s="29">
        <f aca="true" t="shared" si="47" ref="AI175:AI180">SUM(AH175-AG175)</f>
        <v>167398.36</v>
      </c>
    </row>
    <row r="176" spans="1:35" s="39" customFormat="1" ht="21" customHeight="1">
      <c r="A176" s="35" t="s">
        <v>25</v>
      </c>
      <c r="B176" s="36">
        <v>66527.7</v>
      </c>
      <c r="C176" s="52"/>
      <c r="D176" s="52"/>
      <c r="E176" s="52">
        <v>2155.68</v>
      </c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74"/>
      <c r="AB176" s="74"/>
      <c r="AC176" s="52"/>
      <c r="AD176" s="52"/>
      <c r="AE176" s="53"/>
      <c r="AF176" s="34">
        <f>SUM(C176:AD176)</f>
        <v>2155.68</v>
      </c>
      <c r="AG176" s="34">
        <f t="shared" si="46"/>
        <v>68683.37999999999</v>
      </c>
      <c r="AH176" s="59">
        <v>68700</v>
      </c>
      <c r="AI176" s="29">
        <f t="shared" si="47"/>
        <v>16.620000000009895</v>
      </c>
    </row>
    <row r="177" spans="1:35" s="39" customFormat="1" ht="15" customHeight="1" hidden="1">
      <c r="A177" s="35" t="s">
        <v>43</v>
      </c>
      <c r="B177" s="36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3"/>
      <c r="AF177" s="34">
        <f>SUM(C177:AD177)</f>
        <v>0</v>
      </c>
      <c r="AG177" s="34">
        <f t="shared" si="46"/>
        <v>0</v>
      </c>
      <c r="AH177" s="51"/>
      <c r="AI177" s="29">
        <f t="shared" si="47"/>
        <v>0</v>
      </c>
    </row>
    <row r="178" spans="1:35" s="39" customFormat="1" ht="19.5" customHeight="1">
      <c r="A178" s="35" t="s">
        <v>26</v>
      </c>
      <c r="B178" s="36">
        <v>3300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3"/>
      <c r="AF178" s="34">
        <f>SUM(C178:AD178)</f>
        <v>0</v>
      </c>
      <c r="AG178" s="34">
        <f t="shared" si="46"/>
        <v>3300</v>
      </c>
      <c r="AH178" s="51">
        <v>3300</v>
      </c>
      <c r="AI178" s="29">
        <f t="shared" si="47"/>
        <v>0</v>
      </c>
    </row>
    <row r="179" spans="1:35" s="39" customFormat="1" ht="18" customHeight="1">
      <c r="A179" s="35" t="s">
        <v>27</v>
      </c>
      <c r="B179" s="36">
        <v>37150</v>
      </c>
      <c r="C179" s="52"/>
      <c r="D179" s="52"/>
      <c r="E179" s="52"/>
      <c r="F179" s="52"/>
      <c r="G179" s="52"/>
      <c r="H179" s="52"/>
      <c r="I179" s="52"/>
      <c r="J179" s="52">
        <v>970</v>
      </c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3"/>
      <c r="AF179" s="34">
        <f>SUM(C179:AD179)</f>
        <v>970</v>
      </c>
      <c r="AG179" s="34">
        <f t="shared" si="46"/>
        <v>38120</v>
      </c>
      <c r="AH179" s="51">
        <v>37200</v>
      </c>
      <c r="AI179" s="29">
        <f t="shared" si="47"/>
        <v>-920</v>
      </c>
    </row>
    <row r="180" spans="1:35" s="39" customFormat="1" ht="18" customHeight="1">
      <c r="A180" s="35" t="s">
        <v>43</v>
      </c>
      <c r="B180" s="36"/>
      <c r="C180" s="52"/>
      <c r="D180" s="52"/>
      <c r="E180" s="52"/>
      <c r="F180" s="52"/>
      <c r="G180" s="52"/>
      <c r="H180" s="52"/>
      <c r="I180" s="52"/>
      <c r="J180" s="52">
        <v>27990</v>
      </c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3"/>
      <c r="AF180" s="34">
        <f>SUM(C180:AD180)</f>
        <v>27990</v>
      </c>
      <c r="AG180" s="34">
        <f t="shared" si="46"/>
        <v>27990</v>
      </c>
      <c r="AH180" s="51">
        <v>20000</v>
      </c>
      <c r="AI180" s="29">
        <f t="shared" si="47"/>
        <v>-7990</v>
      </c>
    </row>
    <row r="181" spans="1:35" s="39" customFormat="1" ht="18.75" customHeight="1">
      <c r="A181" s="12" t="s">
        <v>8</v>
      </c>
      <c r="B181" s="36">
        <f>B175+B176+B179+B177+B178</f>
        <v>226724.7</v>
      </c>
      <c r="C181" s="36">
        <f aca="true" t="shared" si="48" ref="C181:H181">SUM(C175:C179)</f>
        <v>0</v>
      </c>
      <c r="D181" s="36">
        <f t="shared" si="48"/>
        <v>0</v>
      </c>
      <c r="E181" s="36">
        <f t="shared" si="48"/>
        <v>2155.68</v>
      </c>
      <c r="F181" s="36">
        <f t="shared" si="48"/>
        <v>0</v>
      </c>
      <c r="G181" s="36">
        <f t="shared" si="48"/>
        <v>0</v>
      </c>
      <c r="H181" s="36">
        <f t="shared" si="48"/>
        <v>0</v>
      </c>
      <c r="I181" s="36">
        <f>I175+I176+I179</f>
        <v>0</v>
      </c>
      <c r="J181" s="36">
        <f>SUM(J175:J179)+J180</f>
        <v>28960</v>
      </c>
      <c r="K181" s="36">
        <f aca="true" t="shared" si="49" ref="K181:X181">SUM(K175:K179)</f>
        <v>0</v>
      </c>
      <c r="L181" s="36">
        <f t="shared" si="49"/>
        <v>0</v>
      </c>
      <c r="M181" s="36">
        <f t="shared" si="49"/>
        <v>0</v>
      </c>
      <c r="N181" s="36">
        <f t="shared" si="49"/>
        <v>0</v>
      </c>
      <c r="O181" s="36">
        <f t="shared" si="49"/>
        <v>0</v>
      </c>
      <c r="P181" s="36">
        <f t="shared" si="49"/>
        <v>0</v>
      </c>
      <c r="Q181" s="36">
        <f t="shared" si="49"/>
        <v>0</v>
      </c>
      <c r="R181" s="36">
        <f t="shared" si="49"/>
        <v>0</v>
      </c>
      <c r="S181" s="36">
        <f t="shared" si="49"/>
        <v>0</v>
      </c>
      <c r="T181" s="36">
        <f t="shared" si="49"/>
        <v>0</v>
      </c>
      <c r="U181" s="36">
        <f t="shared" si="49"/>
        <v>0</v>
      </c>
      <c r="V181" s="36">
        <f t="shared" si="49"/>
        <v>0</v>
      </c>
      <c r="W181" s="36">
        <f t="shared" si="49"/>
        <v>0</v>
      </c>
      <c r="X181" s="36">
        <f t="shared" si="49"/>
        <v>0</v>
      </c>
      <c r="Y181" s="46">
        <f>Y175+Y176+Y179</f>
        <v>0</v>
      </c>
      <c r="Z181" s="46">
        <f>Z175+Z176+Z179</f>
        <v>0</v>
      </c>
      <c r="AA181" s="46">
        <f>AA175+AA176+AA179</f>
        <v>0</v>
      </c>
      <c r="AB181" s="46">
        <f>AB175+AB176+AB179</f>
        <v>0</v>
      </c>
      <c r="AC181" s="46">
        <f>AC175+AC176+AC179</f>
        <v>0</v>
      </c>
      <c r="AD181" s="46">
        <f>SUM(AD175:AD179)</f>
        <v>0</v>
      </c>
      <c r="AE181" s="46">
        <f>SUM(AE175:AE179)</f>
        <v>0</v>
      </c>
      <c r="AF181" s="36">
        <f>AF175+AF176+AF179+AF178+AF180</f>
        <v>31115.68</v>
      </c>
      <c r="AG181" s="36">
        <f>SUM(AG175:AG179)+AG180</f>
        <v>257840.38</v>
      </c>
      <c r="AH181" s="36">
        <f>SUM(AH175:AH180)</f>
        <v>416345.36</v>
      </c>
      <c r="AI181" s="36">
        <f>SUM(AI175:AI179)</f>
        <v>166494.97999999998</v>
      </c>
    </row>
    <row r="182" spans="1:35" s="39" customFormat="1" ht="21.75" customHeight="1">
      <c r="A182" s="82" t="s">
        <v>60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21"/>
      <c r="AH182" s="51"/>
      <c r="AI182" s="55"/>
    </row>
    <row r="183" spans="1:35" s="39" customFormat="1" ht="20.25" customHeight="1">
      <c r="A183" s="35" t="s">
        <v>26</v>
      </c>
      <c r="B183" s="36">
        <v>5856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3"/>
      <c r="AF183" s="34">
        <f>SUM(C183:AD183)</f>
        <v>0</v>
      </c>
      <c r="AG183" s="34">
        <f>AF183+B183</f>
        <v>5856</v>
      </c>
      <c r="AH183" s="51">
        <v>10000</v>
      </c>
      <c r="AI183" s="29">
        <f>SUM(AH183-AG183)</f>
        <v>4144</v>
      </c>
    </row>
    <row r="184" spans="1:35" s="39" customFormat="1" ht="19.5" customHeight="1">
      <c r="A184" s="12" t="s">
        <v>8</v>
      </c>
      <c r="B184" s="36">
        <f aca="true" t="shared" si="50" ref="B184:X184">B183</f>
        <v>5856</v>
      </c>
      <c r="C184" s="36">
        <f t="shared" si="50"/>
        <v>0</v>
      </c>
      <c r="D184" s="36">
        <f t="shared" si="50"/>
        <v>0</v>
      </c>
      <c r="E184" s="36">
        <f t="shared" si="50"/>
        <v>0</v>
      </c>
      <c r="F184" s="36">
        <f t="shared" si="50"/>
        <v>0</v>
      </c>
      <c r="G184" s="36">
        <f t="shared" si="50"/>
        <v>0</v>
      </c>
      <c r="H184" s="36">
        <f t="shared" si="50"/>
        <v>0</v>
      </c>
      <c r="I184" s="36">
        <f t="shared" si="50"/>
        <v>0</v>
      </c>
      <c r="J184" s="36">
        <f t="shared" si="50"/>
        <v>0</v>
      </c>
      <c r="K184" s="36">
        <f t="shared" si="50"/>
        <v>0</v>
      </c>
      <c r="L184" s="36">
        <f t="shared" si="50"/>
        <v>0</v>
      </c>
      <c r="M184" s="36">
        <f t="shared" si="50"/>
        <v>0</v>
      </c>
      <c r="N184" s="36">
        <f t="shared" si="50"/>
        <v>0</v>
      </c>
      <c r="O184" s="36">
        <f t="shared" si="50"/>
        <v>0</v>
      </c>
      <c r="P184" s="36">
        <f t="shared" si="50"/>
        <v>0</v>
      </c>
      <c r="Q184" s="36">
        <f t="shared" si="50"/>
        <v>0</v>
      </c>
      <c r="R184" s="36">
        <f t="shared" si="50"/>
        <v>0</v>
      </c>
      <c r="S184" s="36">
        <f t="shared" si="50"/>
        <v>0</v>
      </c>
      <c r="T184" s="36">
        <f t="shared" si="50"/>
        <v>0</v>
      </c>
      <c r="U184" s="36">
        <f t="shared" si="50"/>
        <v>0</v>
      </c>
      <c r="V184" s="36">
        <f t="shared" si="50"/>
        <v>0</v>
      </c>
      <c r="W184" s="36">
        <f t="shared" si="50"/>
        <v>0</v>
      </c>
      <c r="X184" s="36">
        <f t="shared" si="50"/>
        <v>0</v>
      </c>
      <c r="Y184" s="46"/>
      <c r="Z184" s="46"/>
      <c r="AA184" s="46"/>
      <c r="AB184" s="46"/>
      <c r="AC184" s="46"/>
      <c r="AD184" s="46"/>
      <c r="AE184" s="46"/>
      <c r="AF184" s="36">
        <f>AF183</f>
        <v>0</v>
      </c>
      <c r="AG184" s="34">
        <f>AG183</f>
        <v>5856</v>
      </c>
      <c r="AH184" s="34">
        <f>AH183</f>
        <v>10000</v>
      </c>
      <c r="AI184" s="34">
        <f>AI183</f>
        <v>4144</v>
      </c>
    </row>
    <row r="185" spans="1:35" s="39" customFormat="1" ht="15" customHeight="1">
      <c r="A185" s="82" t="s">
        <v>61</v>
      </c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36"/>
      <c r="AH185" s="36"/>
      <c r="AI185" s="29"/>
    </row>
    <row r="186" spans="1:35" s="39" customFormat="1" ht="24" customHeight="1">
      <c r="A186" s="35" t="s">
        <v>62</v>
      </c>
      <c r="B186" s="21" t="s">
        <v>95</v>
      </c>
      <c r="C186" s="21"/>
      <c r="D186" s="21"/>
      <c r="E186" s="21"/>
      <c r="F186" s="15"/>
      <c r="G186" s="67"/>
      <c r="H186" s="15"/>
      <c r="I186" s="21"/>
      <c r="J186" s="15"/>
      <c r="K186" s="21"/>
      <c r="L186" s="15" t="s">
        <v>104</v>
      </c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52"/>
      <c r="AA186" s="52"/>
      <c r="AB186" s="61"/>
      <c r="AC186" s="61"/>
      <c r="AD186" s="21"/>
      <c r="AE186" s="21"/>
      <c r="AF186" s="34">
        <f>SUM(C186:AD186)+AE186+L186</f>
        <v>6800</v>
      </c>
      <c r="AG186" s="29">
        <f>SUM(AF186+B186)</f>
        <v>13552</v>
      </c>
      <c r="AH186" s="60">
        <v>13600</v>
      </c>
      <c r="AI186" s="29">
        <f>SUM(AH186-AG186)</f>
        <v>48</v>
      </c>
    </row>
    <row r="187" spans="1:35" s="39" customFormat="1" ht="22.5" customHeight="1">
      <c r="A187" s="35" t="s">
        <v>25</v>
      </c>
      <c r="B187" s="36">
        <v>95701.92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>
        <v>6000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74"/>
      <c r="AB187" s="52">
        <v>3224</v>
      </c>
      <c r="AC187" s="52">
        <v>6960</v>
      </c>
      <c r="AD187" s="52"/>
      <c r="AE187" s="53"/>
      <c r="AF187" s="34">
        <f>SUM(C187:AD187)+AE187</f>
        <v>16184</v>
      </c>
      <c r="AG187" s="29">
        <f>SUM(AF187+B187)</f>
        <v>111885.92</v>
      </c>
      <c r="AH187" s="57">
        <v>111900</v>
      </c>
      <c r="AI187" s="29">
        <f>SUM(AH187-AG187)</f>
        <v>14.080000000001746</v>
      </c>
    </row>
    <row r="188" spans="1:35" s="39" customFormat="1" ht="22.5" customHeight="1">
      <c r="A188" s="35" t="s">
        <v>26</v>
      </c>
      <c r="B188" s="36">
        <v>25180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3"/>
      <c r="AF188" s="34">
        <f>SUM(C188:AD188)+AE188</f>
        <v>0</v>
      </c>
      <c r="AG188" s="29">
        <f>SUM(AF188+B188)</f>
        <v>25180</v>
      </c>
      <c r="AH188" s="57">
        <v>29400</v>
      </c>
      <c r="AI188" s="29">
        <f>SUM(AH188-AG188)</f>
        <v>4220</v>
      </c>
    </row>
    <row r="189" spans="1:35" s="39" customFormat="1" ht="22.5" customHeight="1">
      <c r="A189" s="35" t="s">
        <v>43</v>
      </c>
      <c r="B189" s="36">
        <v>90000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3"/>
      <c r="AF189" s="34">
        <f>SUM(C189:AD189)+AE189</f>
        <v>0</v>
      </c>
      <c r="AG189" s="29">
        <f>SUM(AF189+B189)</f>
        <v>90000</v>
      </c>
      <c r="AH189" s="57">
        <v>90000</v>
      </c>
      <c r="AI189" s="29">
        <f>SUM(AH189-AG189)</f>
        <v>0</v>
      </c>
    </row>
    <row r="190" spans="1:35" s="39" customFormat="1" ht="20.25" customHeight="1">
      <c r="A190" s="35" t="s">
        <v>27</v>
      </c>
      <c r="B190" s="36">
        <v>108321.62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>
        <v>22320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>
        <v>8000</v>
      </c>
      <c r="Z190" s="52"/>
      <c r="AA190" s="52"/>
      <c r="AB190" s="52">
        <v>2999.5</v>
      </c>
      <c r="AC190" s="52"/>
      <c r="AD190" s="52"/>
      <c r="AE190" s="53"/>
      <c r="AF190" s="34">
        <f>SUM(C190:AD190)+AE190</f>
        <v>33319.5</v>
      </c>
      <c r="AG190" s="29">
        <f>SUM(AF190+B190)</f>
        <v>141641.12</v>
      </c>
      <c r="AH190" s="57">
        <v>143769.82</v>
      </c>
      <c r="AI190" s="29">
        <f>SUM(AH190-AG190)</f>
        <v>2128.7000000000116</v>
      </c>
    </row>
    <row r="191" spans="1:35" s="39" customFormat="1" ht="20.25" customHeight="1">
      <c r="A191" s="12" t="s">
        <v>8</v>
      </c>
      <c r="B191" s="36">
        <f>B187+B190+B186+B188+B189</f>
        <v>325955.54</v>
      </c>
      <c r="C191" s="36">
        <f>C187+C190</f>
        <v>0</v>
      </c>
      <c r="D191" s="36">
        <f>D187+D190+D188+D189</f>
        <v>0</v>
      </c>
      <c r="E191" s="36">
        <f>E187+E190</f>
        <v>0</v>
      </c>
      <c r="F191" s="36">
        <f>F187+F190+F189</f>
        <v>0</v>
      </c>
      <c r="G191" s="36">
        <f>G187+G190+G186+G188</f>
        <v>0</v>
      </c>
      <c r="H191" s="36">
        <f>H187+H190+H189+H188</f>
        <v>0</v>
      </c>
      <c r="I191" s="36">
        <f aca="true" t="shared" si="51" ref="I191:Y191">I187+I190</f>
        <v>0</v>
      </c>
      <c r="J191" s="36">
        <f>J187+J190+J188</f>
        <v>0</v>
      </c>
      <c r="K191" s="36">
        <f t="shared" si="51"/>
        <v>0</v>
      </c>
      <c r="L191" s="36">
        <f>L187+L190+L186</f>
        <v>35120</v>
      </c>
      <c r="M191" s="36">
        <f t="shared" si="51"/>
        <v>0</v>
      </c>
      <c r="N191" s="36">
        <f t="shared" si="51"/>
        <v>0</v>
      </c>
      <c r="O191" s="36">
        <f t="shared" si="51"/>
        <v>0</v>
      </c>
      <c r="P191" s="36">
        <f t="shared" si="51"/>
        <v>0</v>
      </c>
      <c r="Q191" s="36">
        <f t="shared" si="51"/>
        <v>0</v>
      </c>
      <c r="R191" s="36">
        <f t="shared" si="51"/>
        <v>0</v>
      </c>
      <c r="S191" s="36">
        <f t="shared" si="51"/>
        <v>0</v>
      </c>
      <c r="T191" s="36">
        <f t="shared" si="51"/>
        <v>0</v>
      </c>
      <c r="U191" s="36">
        <f t="shared" si="51"/>
        <v>0</v>
      </c>
      <c r="V191" s="36">
        <f t="shared" si="51"/>
        <v>0</v>
      </c>
      <c r="W191" s="36">
        <f t="shared" si="51"/>
        <v>0</v>
      </c>
      <c r="X191" s="36">
        <f t="shared" si="51"/>
        <v>0</v>
      </c>
      <c r="Y191" s="36">
        <f t="shared" si="51"/>
        <v>8000</v>
      </c>
      <c r="Z191" s="36">
        <f>Z187+Z190+Z186</f>
        <v>0</v>
      </c>
      <c r="AA191" s="36">
        <f>AA187+AA190+AA186+AA188</f>
        <v>0</v>
      </c>
      <c r="AB191" s="36">
        <f>AB187+AB190+AB186+AB188</f>
        <v>6223.5</v>
      </c>
      <c r="AC191" s="36">
        <f>AC187+AC190+AC186</f>
        <v>6960</v>
      </c>
      <c r="AD191" s="46"/>
      <c r="AE191" s="46">
        <f>AE186+AE187+AE190</f>
        <v>0</v>
      </c>
      <c r="AF191" s="36">
        <f>AF186+AF187+AF188+AF190</f>
        <v>56303.5</v>
      </c>
      <c r="AG191" s="57">
        <f>SUM(AG186:AG190)</f>
        <v>382259.04</v>
      </c>
      <c r="AH191" s="57">
        <f>SUM(AH187:AH190)+AH186</f>
        <v>388669.82</v>
      </c>
      <c r="AI191" s="29">
        <f>SUM(AI187:AI190)+AI186</f>
        <v>6410.780000000013</v>
      </c>
    </row>
    <row r="192" spans="1:35" s="39" customFormat="1" ht="15" customHeight="1" hidden="1">
      <c r="A192" s="82" t="s">
        <v>63</v>
      </c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36"/>
      <c r="AH192" s="36"/>
      <c r="AI192" s="29"/>
    </row>
    <row r="193" spans="1:35" s="39" customFormat="1" ht="15" customHeight="1" hidden="1">
      <c r="A193" s="35" t="s">
        <v>32</v>
      </c>
      <c r="B193" s="36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3"/>
      <c r="AF193" s="34">
        <f>SUM(C193:AD193)</f>
        <v>0</v>
      </c>
      <c r="AG193" s="21"/>
      <c r="AH193" s="51"/>
      <c r="AI193" s="58"/>
    </row>
    <row r="194" spans="1:35" s="39" customFormat="1" ht="15" customHeight="1" hidden="1">
      <c r="A194" s="35" t="s">
        <v>36</v>
      </c>
      <c r="B194" s="36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3"/>
      <c r="AF194" s="34">
        <f>SUM(C194:AD194)</f>
        <v>0</v>
      </c>
      <c r="AG194" s="34" t="e">
        <f>#REF!+#REF!</f>
        <v>#REF!</v>
      </c>
      <c r="AH194" s="59"/>
      <c r="AI194" s="29"/>
    </row>
    <row r="195" spans="1:35" s="39" customFormat="1" ht="15" customHeight="1" hidden="1">
      <c r="A195" s="12" t="s">
        <v>8</v>
      </c>
      <c r="B195" s="36">
        <f aca="true" t="shared" si="52" ref="B195:X195">B193+B194</f>
        <v>0</v>
      </c>
      <c r="C195" s="36">
        <f t="shared" si="52"/>
        <v>0</v>
      </c>
      <c r="D195" s="36">
        <f t="shared" si="52"/>
        <v>0</v>
      </c>
      <c r="E195" s="36">
        <f t="shared" si="52"/>
        <v>0</v>
      </c>
      <c r="F195" s="36">
        <f t="shared" si="52"/>
        <v>0</v>
      </c>
      <c r="G195" s="36">
        <f t="shared" si="52"/>
        <v>0</v>
      </c>
      <c r="H195" s="36">
        <f t="shared" si="52"/>
        <v>0</v>
      </c>
      <c r="I195" s="36">
        <f t="shared" si="52"/>
        <v>0</v>
      </c>
      <c r="J195" s="36">
        <f t="shared" si="52"/>
        <v>0</v>
      </c>
      <c r="K195" s="36">
        <f t="shared" si="52"/>
        <v>0</v>
      </c>
      <c r="L195" s="36">
        <f t="shared" si="52"/>
        <v>0</v>
      </c>
      <c r="M195" s="36">
        <f t="shared" si="52"/>
        <v>0</v>
      </c>
      <c r="N195" s="36">
        <f t="shared" si="52"/>
        <v>0</v>
      </c>
      <c r="O195" s="36">
        <f t="shared" si="52"/>
        <v>0</v>
      </c>
      <c r="P195" s="36">
        <f t="shared" si="52"/>
        <v>0</v>
      </c>
      <c r="Q195" s="36">
        <f t="shared" si="52"/>
        <v>0</v>
      </c>
      <c r="R195" s="36">
        <f t="shared" si="52"/>
        <v>0</v>
      </c>
      <c r="S195" s="36">
        <f t="shared" si="52"/>
        <v>0</v>
      </c>
      <c r="T195" s="36">
        <f t="shared" si="52"/>
        <v>0</v>
      </c>
      <c r="U195" s="36">
        <f t="shared" si="52"/>
        <v>0</v>
      </c>
      <c r="V195" s="36">
        <f t="shared" si="52"/>
        <v>0</v>
      </c>
      <c r="W195" s="36">
        <f t="shared" si="52"/>
        <v>0</v>
      </c>
      <c r="X195" s="36">
        <f t="shared" si="52"/>
        <v>0</v>
      </c>
      <c r="Y195" s="46"/>
      <c r="Z195" s="46"/>
      <c r="AA195" s="46"/>
      <c r="AB195" s="46"/>
      <c r="AC195" s="46"/>
      <c r="AD195" s="46"/>
      <c r="AE195" s="46"/>
      <c r="AF195" s="36">
        <f>AF193+AF194</f>
        <v>0</v>
      </c>
      <c r="AG195" s="34">
        <f>B198+AF198</f>
        <v>19216</v>
      </c>
      <c r="AH195" s="59"/>
      <c r="AI195" s="29"/>
    </row>
    <row r="196" spans="1:35" s="39" customFormat="1" ht="19.5" customHeight="1">
      <c r="A196" s="82" t="s">
        <v>64</v>
      </c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34"/>
      <c r="AH196" s="59"/>
      <c r="AI196" s="29"/>
    </row>
    <row r="197" spans="1:35" s="39" customFormat="1" ht="19.5" customHeight="1">
      <c r="A197" s="72" t="s">
        <v>25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34">
        <f>SUM(C197:AD197)</f>
        <v>0</v>
      </c>
      <c r="AG197" s="36">
        <f>SUM(B197+AF197)</f>
        <v>0</v>
      </c>
      <c r="AH197" s="59">
        <v>0</v>
      </c>
      <c r="AI197" s="29">
        <f>SUM(AH197-AG197)</f>
        <v>0</v>
      </c>
    </row>
    <row r="198" spans="1:35" s="39" customFormat="1" ht="18" customHeight="1">
      <c r="A198" s="35" t="s">
        <v>26</v>
      </c>
      <c r="B198" s="36">
        <v>19216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3"/>
      <c r="AF198" s="34">
        <f>SUM(C198:AD198)</f>
        <v>0</v>
      </c>
      <c r="AG198" s="36">
        <f>SUM(B198+AF198)</f>
        <v>19216</v>
      </c>
      <c r="AH198" s="51">
        <v>19300</v>
      </c>
      <c r="AI198" s="29">
        <f>AH198-AG198</f>
        <v>84</v>
      </c>
    </row>
    <row r="199" spans="1:35" s="39" customFormat="1" ht="18.75" customHeight="1">
      <c r="A199" s="12" t="s">
        <v>8</v>
      </c>
      <c r="B199" s="36">
        <f>B198</f>
        <v>19216</v>
      </c>
      <c r="C199" s="36">
        <f>C198</f>
        <v>0</v>
      </c>
      <c r="D199" s="36">
        <f>D198</f>
        <v>0</v>
      </c>
      <c r="E199" s="36">
        <f>E198</f>
        <v>0</v>
      </c>
      <c r="F199" s="36">
        <f>F198</f>
        <v>0</v>
      </c>
      <c r="G199" s="36">
        <f aca="true" t="shared" si="53" ref="G199:Y199">SUM(G198:G198)</f>
        <v>0</v>
      </c>
      <c r="H199" s="36">
        <f t="shared" si="53"/>
        <v>0</v>
      </c>
      <c r="I199" s="36">
        <f t="shared" si="53"/>
        <v>0</v>
      </c>
      <c r="J199" s="36">
        <f t="shared" si="53"/>
        <v>0</v>
      </c>
      <c r="K199" s="36">
        <f t="shared" si="53"/>
        <v>0</v>
      </c>
      <c r="L199" s="36">
        <f t="shared" si="53"/>
        <v>0</v>
      </c>
      <c r="M199" s="36">
        <f t="shared" si="53"/>
        <v>0</v>
      </c>
      <c r="N199" s="36">
        <f t="shared" si="53"/>
        <v>0</v>
      </c>
      <c r="O199" s="36">
        <f t="shared" si="53"/>
        <v>0</v>
      </c>
      <c r="P199" s="36">
        <f t="shared" si="53"/>
        <v>0</v>
      </c>
      <c r="Q199" s="36">
        <f t="shared" si="53"/>
        <v>0</v>
      </c>
      <c r="R199" s="36">
        <f t="shared" si="53"/>
        <v>0</v>
      </c>
      <c r="S199" s="36">
        <f t="shared" si="53"/>
        <v>0</v>
      </c>
      <c r="T199" s="36">
        <f t="shared" si="53"/>
        <v>0</v>
      </c>
      <c r="U199" s="36">
        <f t="shared" si="53"/>
        <v>0</v>
      </c>
      <c r="V199" s="36">
        <f t="shared" si="53"/>
        <v>0</v>
      </c>
      <c r="W199" s="36">
        <f t="shared" si="53"/>
        <v>0</v>
      </c>
      <c r="X199" s="36">
        <f t="shared" si="53"/>
        <v>0</v>
      </c>
      <c r="Y199" s="36">
        <f t="shared" si="53"/>
        <v>0</v>
      </c>
      <c r="Z199" s="46"/>
      <c r="AA199" s="46"/>
      <c r="AB199" s="36">
        <f>SUM(AB198:AB198)</f>
        <v>0</v>
      </c>
      <c r="AC199" s="46"/>
      <c r="AD199" s="46"/>
      <c r="AE199" s="46"/>
      <c r="AF199" s="36">
        <f>AF198</f>
        <v>0</v>
      </c>
      <c r="AG199" s="36">
        <f>SUM(AG198:AG198)</f>
        <v>19216</v>
      </c>
      <c r="AH199" s="36">
        <f>AH197+AH198</f>
        <v>19300</v>
      </c>
      <c r="AI199" s="36">
        <f>AI197+AI198</f>
        <v>84</v>
      </c>
    </row>
    <row r="200" spans="1:35" s="39" customFormat="1" ht="15" customHeight="1">
      <c r="A200" s="82" t="s">
        <v>65</v>
      </c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21"/>
      <c r="AH200" s="51"/>
      <c r="AI200" s="55"/>
    </row>
    <row r="201" spans="1:35" s="39" customFormat="1" ht="21" customHeight="1">
      <c r="A201" s="35" t="s">
        <v>66</v>
      </c>
      <c r="B201" s="36">
        <v>378902.94</v>
      </c>
      <c r="C201" s="38"/>
      <c r="D201" s="38"/>
      <c r="E201" s="38">
        <v>34253.3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>
        <v>34253.3</v>
      </c>
      <c r="AB201" s="38"/>
      <c r="AC201" s="38"/>
      <c r="AD201" s="38"/>
      <c r="AE201" s="40"/>
      <c r="AF201" s="27">
        <f>SUM(C201:AD201)+AE201</f>
        <v>68506.6</v>
      </c>
      <c r="AG201" s="34">
        <f>B201+AF201</f>
        <v>447409.54000000004</v>
      </c>
      <c r="AH201" s="51">
        <v>436400</v>
      </c>
      <c r="AI201" s="29">
        <f>SUM(AH201-AG201)</f>
        <v>-11009.540000000037</v>
      </c>
    </row>
    <row r="202" spans="1:35" s="39" customFormat="1" ht="18.75" customHeight="1">
      <c r="A202" s="12" t="s">
        <v>8</v>
      </c>
      <c r="B202" s="36">
        <f aca="true" t="shared" si="54" ref="B202:Z202">B201</f>
        <v>378902.94</v>
      </c>
      <c r="C202" s="36">
        <f t="shared" si="54"/>
        <v>0</v>
      </c>
      <c r="D202" s="36">
        <f t="shared" si="54"/>
        <v>0</v>
      </c>
      <c r="E202" s="36">
        <f t="shared" si="54"/>
        <v>34253.3</v>
      </c>
      <c r="F202" s="36">
        <f t="shared" si="54"/>
        <v>0</v>
      </c>
      <c r="G202" s="36">
        <f t="shared" si="54"/>
        <v>0</v>
      </c>
      <c r="H202" s="36">
        <f t="shared" si="54"/>
        <v>0</v>
      </c>
      <c r="I202" s="36">
        <f t="shared" si="54"/>
        <v>0</v>
      </c>
      <c r="J202" s="36">
        <f t="shared" si="54"/>
        <v>0</v>
      </c>
      <c r="K202" s="36">
        <f t="shared" si="54"/>
        <v>0</v>
      </c>
      <c r="L202" s="36">
        <f t="shared" si="54"/>
        <v>0</v>
      </c>
      <c r="M202" s="36">
        <f t="shared" si="54"/>
        <v>0</v>
      </c>
      <c r="N202" s="36">
        <f t="shared" si="54"/>
        <v>0</v>
      </c>
      <c r="O202" s="36">
        <f t="shared" si="54"/>
        <v>0</v>
      </c>
      <c r="P202" s="36">
        <f t="shared" si="54"/>
        <v>0</v>
      </c>
      <c r="Q202" s="36">
        <f t="shared" si="54"/>
        <v>0</v>
      </c>
      <c r="R202" s="36">
        <f t="shared" si="54"/>
        <v>0</v>
      </c>
      <c r="S202" s="36">
        <f t="shared" si="54"/>
        <v>0</v>
      </c>
      <c r="T202" s="36">
        <f t="shared" si="54"/>
        <v>0</v>
      </c>
      <c r="U202" s="36">
        <f t="shared" si="54"/>
        <v>0</v>
      </c>
      <c r="V202" s="36">
        <f t="shared" si="54"/>
        <v>0</v>
      </c>
      <c r="W202" s="36">
        <f t="shared" si="54"/>
        <v>0</v>
      </c>
      <c r="X202" s="36">
        <f t="shared" si="54"/>
        <v>0</v>
      </c>
      <c r="Y202" s="36">
        <f t="shared" si="54"/>
        <v>0</v>
      </c>
      <c r="Z202" s="36">
        <f t="shared" si="54"/>
        <v>0</v>
      </c>
      <c r="AA202" s="43">
        <f>AA201</f>
        <v>34253.3</v>
      </c>
      <c r="AB202" s="43"/>
      <c r="AC202" s="43">
        <f>AC201</f>
        <v>0</v>
      </c>
      <c r="AD202" s="43"/>
      <c r="AE202" s="43">
        <f>AE201</f>
        <v>0</v>
      </c>
      <c r="AF202" s="36">
        <f>AF201</f>
        <v>68506.6</v>
      </c>
      <c r="AG202" s="36">
        <f>AG201</f>
        <v>447409.54000000004</v>
      </c>
      <c r="AH202" s="36">
        <f>AH201</f>
        <v>436400</v>
      </c>
      <c r="AI202" s="29">
        <f>AH202-AG202</f>
        <v>-11009.540000000037</v>
      </c>
    </row>
    <row r="203" spans="1:35" s="39" customFormat="1" ht="15" customHeight="1" hidden="1">
      <c r="A203" s="82" t="s">
        <v>67</v>
      </c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21"/>
      <c r="AH203" s="51"/>
      <c r="AI203" s="55"/>
    </row>
    <row r="204" spans="1:35" s="39" customFormat="1" ht="15" customHeight="1" hidden="1">
      <c r="A204" s="35" t="s">
        <v>31</v>
      </c>
      <c r="B204" s="36">
        <v>0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40"/>
      <c r="AF204" s="27">
        <f>SUM(C204:AD204)</f>
        <v>0</v>
      </c>
      <c r="AG204" s="34">
        <f>B207+AF207</f>
        <v>0</v>
      </c>
      <c r="AH204" s="51"/>
      <c r="AI204" s="29"/>
    </row>
    <row r="205" spans="1:35" s="39" customFormat="1" ht="15" customHeight="1" hidden="1">
      <c r="A205" s="12" t="s">
        <v>8</v>
      </c>
      <c r="B205" s="36">
        <f aca="true" t="shared" si="55" ref="B205:X205">B204</f>
        <v>0</v>
      </c>
      <c r="C205" s="36">
        <f t="shared" si="55"/>
        <v>0</v>
      </c>
      <c r="D205" s="36">
        <f t="shared" si="55"/>
        <v>0</v>
      </c>
      <c r="E205" s="36">
        <f t="shared" si="55"/>
        <v>0</v>
      </c>
      <c r="F205" s="36">
        <f t="shared" si="55"/>
        <v>0</v>
      </c>
      <c r="G205" s="36">
        <f t="shared" si="55"/>
        <v>0</v>
      </c>
      <c r="H205" s="36">
        <f t="shared" si="55"/>
        <v>0</v>
      </c>
      <c r="I205" s="36">
        <f t="shared" si="55"/>
        <v>0</v>
      </c>
      <c r="J205" s="36">
        <f t="shared" si="55"/>
        <v>0</v>
      </c>
      <c r="K205" s="36">
        <f t="shared" si="55"/>
        <v>0</v>
      </c>
      <c r="L205" s="36">
        <f t="shared" si="55"/>
        <v>0</v>
      </c>
      <c r="M205" s="36">
        <f t="shared" si="55"/>
        <v>0</v>
      </c>
      <c r="N205" s="36">
        <f t="shared" si="55"/>
        <v>0</v>
      </c>
      <c r="O205" s="36">
        <f t="shared" si="55"/>
        <v>0</v>
      </c>
      <c r="P205" s="36">
        <f t="shared" si="55"/>
        <v>0</v>
      </c>
      <c r="Q205" s="36">
        <f t="shared" si="55"/>
        <v>0</v>
      </c>
      <c r="R205" s="36">
        <f t="shared" si="55"/>
        <v>0</v>
      </c>
      <c r="S205" s="36">
        <f t="shared" si="55"/>
        <v>0</v>
      </c>
      <c r="T205" s="36">
        <f t="shared" si="55"/>
        <v>0</v>
      </c>
      <c r="U205" s="36">
        <f t="shared" si="55"/>
        <v>0</v>
      </c>
      <c r="V205" s="36">
        <f t="shared" si="55"/>
        <v>0</v>
      </c>
      <c r="W205" s="36">
        <f t="shared" si="55"/>
        <v>0</v>
      </c>
      <c r="X205" s="36">
        <f t="shared" si="55"/>
        <v>0</v>
      </c>
      <c r="Y205" s="43"/>
      <c r="Z205" s="43"/>
      <c r="AA205" s="43"/>
      <c r="AB205" s="43"/>
      <c r="AC205" s="43"/>
      <c r="AD205" s="43"/>
      <c r="AE205" s="43"/>
      <c r="AF205" s="36">
        <f>AF204</f>
        <v>0</v>
      </c>
      <c r="AG205" s="36">
        <f>AG204</f>
        <v>0</v>
      </c>
      <c r="AH205" s="36">
        <f>AH204</f>
        <v>0</v>
      </c>
      <c r="AI205" s="29">
        <f>AH205-AG205</f>
        <v>0</v>
      </c>
    </row>
    <row r="206" spans="1:35" s="39" customFormat="1" ht="15" customHeight="1" hidden="1">
      <c r="A206" s="82" t="s">
        <v>68</v>
      </c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36" t="e">
        <f>AG9+#REF!+AG43+AG51+AG60+AG67+AG117+AG120+AG134+AG158+AG164+AG169+AG176+AG181+AG185+#REF!+AG202+AG37+AG70+AG75+#REF!+AG78+AG93+#REF!+AG145+AG148+AG192+AG199+#REF!+#REF!+AG141+AG205</f>
        <v>#REF!</v>
      </c>
      <c r="AH206" s="36" t="e">
        <f>AH9+#REF!+AH43+AH51+AH60+AH67+AH117+AH120+AH134+AH158+AH164+AH169+AH176+AH181+AH185+#REF!+AH202+AH37+AH70+AH75+#REF!+AH78+AH93+#REF!+AH145+AH148+AH192+AH199+#REF!+#REF!+AH141+AH205</f>
        <v>#REF!</v>
      </c>
      <c r="AI206" s="36" t="e">
        <f>AI9+#REF!+AI43+AI51+AI60+AI67+AI117+AI120+AI134+AI158+AI164+AI169+AI176+AI181+AI185+#REF!+AI202+AI37+AI70+AI75+#REF!+AI78+AI93+#REF!+AI145+AI148+AI192+AI199</f>
        <v>#REF!</v>
      </c>
    </row>
    <row r="207" spans="1:35" ht="18" hidden="1">
      <c r="A207" s="35" t="s">
        <v>69</v>
      </c>
      <c r="B207" s="36">
        <v>0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40"/>
      <c r="AF207" s="27">
        <f>SUM(C207:AD207)</f>
        <v>0</v>
      </c>
      <c r="AG207" s="11"/>
      <c r="AH207" s="7"/>
      <c r="AI207" s="8"/>
    </row>
    <row r="208" spans="1:35" ht="18" hidden="1">
      <c r="A208" s="12" t="s">
        <v>8</v>
      </c>
      <c r="B208" s="36">
        <f aca="true" t="shared" si="56" ref="B208:X208">B207</f>
        <v>0</v>
      </c>
      <c r="C208" s="36">
        <f t="shared" si="56"/>
        <v>0</v>
      </c>
      <c r="D208" s="36">
        <f t="shared" si="56"/>
        <v>0</v>
      </c>
      <c r="E208" s="36">
        <f t="shared" si="56"/>
        <v>0</v>
      </c>
      <c r="F208" s="36">
        <f t="shared" si="56"/>
        <v>0</v>
      </c>
      <c r="G208" s="36">
        <f t="shared" si="56"/>
        <v>0</v>
      </c>
      <c r="H208" s="36">
        <f t="shared" si="56"/>
        <v>0</v>
      </c>
      <c r="I208" s="36">
        <f t="shared" si="56"/>
        <v>0</v>
      </c>
      <c r="J208" s="36">
        <f t="shared" si="56"/>
        <v>0</v>
      </c>
      <c r="K208" s="36">
        <f t="shared" si="56"/>
        <v>0</v>
      </c>
      <c r="L208" s="36">
        <f t="shared" si="56"/>
        <v>0</v>
      </c>
      <c r="M208" s="36">
        <f t="shared" si="56"/>
        <v>0</v>
      </c>
      <c r="N208" s="36">
        <f t="shared" si="56"/>
        <v>0</v>
      </c>
      <c r="O208" s="36">
        <f t="shared" si="56"/>
        <v>0</v>
      </c>
      <c r="P208" s="36">
        <f t="shared" si="56"/>
        <v>0</v>
      </c>
      <c r="Q208" s="36">
        <f t="shared" si="56"/>
        <v>0</v>
      </c>
      <c r="R208" s="36">
        <f t="shared" si="56"/>
        <v>0</v>
      </c>
      <c r="S208" s="36">
        <f t="shared" si="56"/>
        <v>0</v>
      </c>
      <c r="T208" s="36">
        <f t="shared" si="56"/>
        <v>0</v>
      </c>
      <c r="U208" s="36">
        <f t="shared" si="56"/>
        <v>0</v>
      </c>
      <c r="V208" s="36">
        <f t="shared" si="56"/>
        <v>0</v>
      </c>
      <c r="W208" s="36">
        <f t="shared" si="56"/>
        <v>0</v>
      </c>
      <c r="X208" s="36">
        <f t="shared" si="56"/>
        <v>0</v>
      </c>
      <c r="Y208" s="43"/>
      <c r="Z208" s="43"/>
      <c r="AA208" s="43"/>
      <c r="AB208" s="43"/>
      <c r="AC208" s="43"/>
      <c r="AD208" s="43"/>
      <c r="AE208" s="43"/>
      <c r="AF208" s="36">
        <f>AF207</f>
        <v>0</v>
      </c>
      <c r="AG208" s="11"/>
      <c r="AH208" s="7"/>
      <c r="AI208" s="8"/>
    </row>
    <row r="209" spans="1:35" ht="18">
      <c r="A209" s="82" t="s">
        <v>101</v>
      </c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21"/>
      <c r="AH209" s="51"/>
      <c r="AI209" s="55"/>
    </row>
    <row r="210" spans="1:35" ht="18">
      <c r="A210" s="35" t="s">
        <v>102</v>
      </c>
      <c r="B210" s="36">
        <v>0</v>
      </c>
      <c r="C210" s="38"/>
      <c r="D210" s="38"/>
      <c r="E210" s="38">
        <v>70200</v>
      </c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40"/>
      <c r="AF210" s="27">
        <f>SUM(C210:AD210)+AE210</f>
        <v>70200</v>
      </c>
      <c r="AG210" s="34">
        <f>B210+AF210</f>
        <v>70200</v>
      </c>
      <c r="AH210" s="51">
        <v>70200</v>
      </c>
      <c r="AI210" s="29">
        <f>SUM(AH210-AG210)</f>
        <v>0</v>
      </c>
    </row>
    <row r="211" spans="1:35" ht="18">
      <c r="A211" s="12" t="s">
        <v>8</v>
      </c>
      <c r="B211" s="36">
        <f aca="true" t="shared" si="57" ref="B211:Z211">B210</f>
        <v>0</v>
      </c>
      <c r="C211" s="36">
        <f t="shared" si="57"/>
        <v>0</v>
      </c>
      <c r="D211" s="36">
        <f t="shared" si="57"/>
        <v>0</v>
      </c>
      <c r="E211" s="36">
        <f t="shared" si="57"/>
        <v>70200</v>
      </c>
      <c r="F211" s="36">
        <f t="shared" si="57"/>
        <v>0</v>
      </c>
      <c r="G211" s="36">
        <f t="shared" si="57"/>
        <v>0</v>
      </c>
      <c r="H211" s="36">
        <f t="shared" si="57"/>
        <v>0</v>
      </c>
      <c r="I211" s="36">
        <f t="shared" si="57"/>
        <v>0</v>
      </c>
      <c r="J211" s="36">
        <f t="shared" si="57"/>
        <v>0</v>
      </c>
      <c r="K211" s="36">
        <f t="shared" si="57"/>
        <v>0</v>
      </c>
      <c r="L211" s="36">
        <f t="shared" si="57"/>
        <v>0</v>
      </c>
      <c r="M211" s="36">
        <f t="shared" si="57"/>
        <v>0</v>
      </c>
      <c r="N211" s="36">
        <f t="shared" si="57"/>
        <v>0</v>
      </c>
      <c r="O211" s="36">
        <f t="shared" si="57"/>
        <v>0</v>
      </c>
      <c r="P211" s="36">
        <f t="shared" si="57"/>
        <v>0</v>
      </c>
      <c r="Q211" s="36">
        <f t="shared" si="57"/>
        <v>0</v>
      </c>
      <c r="R211" s="36">
        <f t="shared" si="57"/>
        <v>0</v>
      </c>
      <c r="S211" s="36">
        <f t="shared" si="57"/>
        <v>0</v>
      </c>
      <c r="T211" s="36">
        <f t="shared" si="57"/>
        <v>0</v>
      </c>
      <c r="U211" s="36">
        <f t="shared" si="57"/>
        <v>0</v>
      </c>
      <c r="V211" s="36">
        <f t="shared" si="57"/>
        <v>0</v>
      </c>
      <c r="W211" s="36">
        <f t="shared" si="57"/>
        <v>0</v>
      </c>
      <c r="X211" s="36">
        <f t="shared" si="57"/>
        <v>0</v>
      </c>
      <c r="Y211" s="36">
        <f t="shared" si="57"/>
        <v>0</v>
      </c>
      <c r="Z211" s="36">
        <f t="shared" si="57"/>
        <v>0</v>
      </c>
      <c r="AA211" s="43"/>
      <c r="AB211" s="43"/>
      <c r="AC211" s="43">
        <f>AC210</f>
        <v>0</v>
      </c>
      <c r="AD211" s="43"/>
      <c r="AE211" s="43">
        <f>AE210</f>
        <v>0</v>
      </c>
      <c r="AF211" s="36">
        <f>AF210</f>
        <v>70200</v>
      </c>
      <c r="AG211" s="36">
        <f>AG210</f>
        <v>70200</v>
      </c>
      <c r="AH211" s="36">
        <f>AH210</f>
        <v>70200</v>
      </c>
      <c r="AI211" s="29">
        <f>AH211-AG211</f>
        <v>0</v>
      </c>
    </row>
    <row r="212" spans="1:35" ht="18" customHeight="1">
      <c r="A212" s="82" t="s">
        <v>77</v>
      </c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21"/>
      <c r="AH212" s="51"/>
      <c r="AI212" s="55"/>
    </row>
    <row r="213" spans="1:35" ht="18">
      <c r="A213" s="35" t="s">
        <v>78</v>
      </c>
      <c r="B213" s="36">
        <v>3000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40"/>
      <c r="AF213" s="27">
        <f aca="true" t="shared" si="58" ref="AF213:AF219">SUM(C213:AD213)</f>
        <v>0</v>
      </c>
      <c r="AG213" s="34">
        <f aca="true" t="shared" si="59" ref="AG213:AG219">B213+AF213</f>
        <v>3000</v>
      </c>
      <c r="AH213" s="51">
        <v>3000</v>
      </c>
      <c r="AI213" s="29">
        <f aca="true" t="shared" si="60" ref="AI213:AI219">SUM(AH213-AG213)</f>
        <v>0</v>
      </c>
    </row>
    <row r="214" spans="1:35" ht="18">
      <c r="A214" s="35"/>
      <c r="B214" s="36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40"/>
      <c r="AF214" s="27">
        <f t="shared" si="58"/>
        <v>0</v>
      </c>
      <c r="AG214" s="34">
        <f t="shared" si="59"/>
        <v>0</v>
      </c>
      <c r="AH214" s="51"/>
      <c r="AI214" s="29">
        <f t="shared" si="60"/>
        <v>0</v>
      </c>
    </row>
    <row r="215" spans="1:35" ht="18">
      <c r="A215" s="35"/>
      <c r="B215" s="36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40"/>
      <c r="AF215" s="27">
        <f t="shared" si="58"/>
        <v>0</v>
      </c>
      <c r="AG215" s="34">
        <f t="shared" si="59"/>
        <v>0</v>
      </c>
      <c r="AH215" s="51"/>
      <c r="AI215" s="29">
        <f t="shared" si="60"/>
        <v>0</v>
      </c>
    </row>
    <row r="216" spans="1:35" ht="18">
      <c r="A216" s="35"/>
      <c r="B216" s="36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40"/>
      <c r="AF216" s="27">
        <f t="shared" si="58"/>
        <v>0</v>
      </c>
      <c r="AG216" s="34">
        <f t="shared" si="59"/>
        <v>0</v>
      </c>
      <c r="AH216" s="51"/>
      <c r="AI216" s="29">
        <f t="shared" si="60"/>
        <v>0</v>
      </c>
    </row>
    <row r="217" spans="1:35" ht="18">
      <c r="A217" s="35"/>
      <c r="B217" s="36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40"/>
      <c r="AF217" s="27">
        <f t="shared" si="58"/>
        <v>0</v>
      </c>
      <c r="AG217" s="34">
        <f t="shared" si="59"/>
        <v>0</v>
      </c>
      <c r="AH217" s="51"/>
      <c r="AI217" s="29">
        <f t="shared" si="60"/>
        <v>0</v>
      </c>
    </row>
    <row r="218" spans="1:35" ht="18">
      <c r="A218" s="35"/>
      <c r="B218" s="36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40"/>
      <c r="AF218" s="27">
        <f t="shared" si="58"/>
        <v>0</v>
      </c>
      <c r="AG218" s="34">
        <f t="shared" si="59"/>
        <v>0</v>
      </c>
      <c r="AH218" s="51"/>
      <c r="AI218" s="29">
        <f t="shared" si="60"/>
        <v>0</v>
      </c>
    </row>
    <row r="219" spans="1:35" ht="18">
      <c r="A219" s="35"/>
      <c r="B219" s="36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40"/>
      <c r="AF219" s="27">
        <f t="shared" si="58"/>
        <v>0</v>
      </c>
      <c r="AG219" s="34">
        <f t="shared" si="59"/>
        <v>0</v>
      </c>
      <c r="AH219" s="51"/>
      <c r="AI219" s="29">
        <f t="shared" si="60"/>
        <v>0</v>
      </c>
    </row>
    <row r="220" spans="1:35" ht="18">
      <c r="A220" s="12" t="s">
        <v>8</v>
      </c>
      <c r="B220" s="36">
        <f>B213+B214+B215+B216+B217+B219+B218</f>
        <v>3000</v>
      </c>
      <c r="C220" s="36">
        <f>C213</f>
        <v>0</v>
      </c>
      <c r="D220" s="36">
        <f>D213+D214+D215+D216+D217+D219</f>
        <v>0</v>
      </c>
      <c r="E220" s="36">
        <f>E213+E214+E215+E216+E217+E219</f>
        <v>0</v>
      </c>
      <c r="F220" s="36">
        <f>F213+F214+F215+F216+F217+F219+F218</f>
        <v>0</v>
      </c>
      <c r="G220" s="36">
        <f>G213+G214+G215+G216+G217+G219</f>
        <v>0</v>
      </c>
      <c r="H220" s="36">
        <f>H213+H214+H215+H216+H219</f>
        <v>0</v>
      </c>
      <c r="I220" s="36">
        <f>I213+I214+I215+I216+I217+I219</f>
        <v>0</v>
      </c>
      <c r="J220" s="36">
        <f>J213+J214+J215+J217+J216+J219</f>
        <v>0</v>
      </c>
      <c r="K220" s="36">
        <f>K213+K214+K219</f>
        <v>0</v>
      </c>
      <c r="L220" s="36">
        <f aca="true" t="shared" si="61" ref="L220:Y220">L213</f>
        <v>0</v>
      </c>
      <c r="M220" s="36">
        <f t="shared" si="61"/>
        <v>0</v>
      </c>
      <c r="N220" s="36">
        <f t="shared" si="61"/>
        <v>0</v>
      </c>
      <c r="O220" s="36">
        <f t="shared" si="61"/>
        <v>0</v>
      </c>
      <c r="P220" s="36">
        <f t="shared" si="61"/>
        <v>0</v>
      </c>
      <c r="Q220" s="36">
        <f t="shared" si="61"/>
        <v>0</v>
      </c>
      <c r="R220" s="36">
        <f t="shared" si="61"/>
        <v>0</v>
      </c>
      <c r="S220" s="36">
        <f t="shared" si="61"/>
        <v>0</v>
      </c>
      <c r="T220" s="36">
        <f t="shared" si="61"/>
        <v>0</v>
      </c>
      <c r="U220" s="36">
        <f t="shared" si="61"/>
        <v>0</v>
      </c>
      <c r="V220" s="36">
        <f t="shared" si="61"/>
        <v>0</v>
      </c>
      <c r="W220" s="36">
        <f t="shared" si="61"/>
        <v>0</v>
      </c>
      <c r="X220" s="36">
        <f t="shared" si="61"/>
        <v>0</v>
      </c>
      <c r="Y220" s="36">
        <f t="shared" si="61"/>
        <v>0</v>
      </c>
      <c r="Z220" s="36"/>
      <c r="AA220" s="43">
        <f>AA213</f>
        <v>0</v>
      </c>
      <c r="AB220" s="43"/>
      <c r="AC220" s="43"/>
      <c r="AD220" s="43"/>
      <c r="AE220" s="43"/>
      <c r="AF220" s="36">
        <f>AF213+AF214+AF215+AF216+AF217+AF219+AF218</f>
        <v>0</v>
      </c>
      <c r="AG220" s="36">
        <f>AG213+AG214+AG215+AG216+AG217+AG219+AG218</f>
        <v>3000</v>
      </c>
      <c r="AH220" s="36">
        <f>AH213+AH214+AH215+AH216+AH219+AH217+AH218</f>
        <v>3000</v>
      </c>
      <c r="AI220" s="29">
        <f>AI213+AI214+AI215+AI216+AI219+AI217+AI218</f>
        <v>0</v>
      </c>
    </row>
    <row r="221" spans="1:35" ht="18">
      <c r="A221" s="12" t="s">
        <v>70</v>
      </c>
      <c r="B221" s="36">
        <f>B9+B37+B43+B51+B60+B67+B75+B93+B97+B103+B107+B113+B140+B163+B173+B181+B184+B191+B199+B202+B220+B81+B84+B154+CB18711+B157+B127+B90+B57+B130+B133</f>
        <v>22177965.65</v>
      </c>
      <c r="C221" s="36">
        <f>C9+C37+C43+C51+C60+C67+C75+C93+C97+C103+C107+C113+C140+C163+C173+C181+C184+C191+C199+C202+C157+C133</f>
        <v>-1340000</v>
      </c>
      <c r="D221" s="36">
        <f>D9+D37+D43+D51+D60+D67+D75+D93+D97+D103+D107+D113+D140+D163+D173+D181+D184+D191+D199+D202+D220+D84+D127+D157+D133</f>
        <v>1441682.87</v>
      </c>
      <c r="E221" s="36">
        <f>E9+E37+E43+E51+E60+E67+E75+E93+E97+E103+E107+E113+E140+E163+E173+E181+E184+E191+E199+E202+E220+E90+E157+E127+E211</f>
        <v>750309.6800000002</v>
      </c>
      <c r="F221" s="36">
        <f>F9+F37+F43+F51+F60+F67+F75+F93+F97+F103+F107+F113+F140+F163+F173+F181+F184+F191+F199+F202+F154+F90+F157+F127+F81</f>
        <v>80212.93</v>
      </c>
      <c r="G221" s="36">
        <f>G9+G37+G43+G51+G60+G67+G75+G93+G97+G103+G107+G113+G140+G163+G173+G181+G184+G191+G199+G202+G220+G154+G157+G127</f>
        <v>-1901.5</v>
      </c>
      <c r="H221" s="36">
        <f>H9+H37+H43+H51+H60+H67+H75+H93+H97+H103+H107+H113+H140+H163+H173+H181+H184+H191+H199+H202+H220+H90+H127+H154+H157+H81</f>
        <v>145505</v>
      </c>
      <c r="I221" s="36">
        <f>I9+I37+I43+I51+I60+I67+I75+I93+I97+I103+I107+I113+I140+I163+I173+I181+I184+I191+I199+I202+I90</f>
        <v>102652</v>
      </c>
      <c r="J221" s="36">
        <f>J9+J37+J43+J51+J60+J67+J75+J93+J97+J103+J107+J113+J140+J163+J173+J181+J184+J191+J199+J202+J157+J81+J133</f>
        <v>28960</v>
      </c>
      <c r="K221" s="36">
        <f>K9+K37+K43+K51+K60+K67+K75+K93+K97+K103+K107+K113+K140+K163+K173+K181+K184+K191+K199+K202+K90+K220+K127+K157</f>
        <v>68569.82</v>
      </c>
      <c r="L221" s="36">
        <f>L9+L37+L43+L51+L60+L67+L75+L93+L97+L103+L107+L113+L140+L163+L173+L181+L184+L191+L199+L202+L127+L157</f>
        <v>35120</v>
      </c>
      <c r="M221" s="36" t="e">
        <f>M9+M37+#REF!+M43+M51+M60+M67+M75+#REF!+#REF!+#REF!+M93+M97+M103+M107+M113+#REF!+#REF!+#REF!+#REF!+M140+M163+M173+M181+#REF!+M184+M191+M199+M202</f>
        <v>#REF!</v>
      </c>
      <c r="N221" s="36" t="e">
        <f>N9+N37+#REF!+N43+N51+N60+N67+N75+#REF!+#REF!+#REF!+N93+N97+N103+N107+N113+#REF!+#REF!+#REF!+#REF!+N140+N163+N173+N181+#REF!+N184+N191+N199+N202</f>
        <v>#REF!</v>
      </c>
      <c r="O221" s="36" t="e">
        <f>O9+O37+#REF!+O43+O51+O60+O67+O75+#REF!+#REF!+#REF!+O93+O97+O103+O107+O113+#REF!+#REF!+#REF!+#REF!+O140+O163+O173+O181+#REF!+O184+O191+O199+O202</f>
        <v>#REF!</v>
      </c>
      <c r="P221" s="36" t="e">
        <f>P9+P37+#REF!+P43+P51+P60+P67+P75+#REF!+#REF!+#REF!+P93+P97+P103+P107+P113+#REF!+#REF!+#REF!+#REF!+P140+P163+P173+P181+#REF!+P184+P191+P199+P202</f>
        <v>#REF!</v>
      </c>
      <c r="Q221" s="36" t="e">
        <f>Q9+Q37+#REF!+Q43+Q51+Q60+Q67+Q75+#REF!+#REF!+#REF!+Q93+Q97+Q103+Q107+Q113+#REF!+#REF!+#REF!+#REF!+Q140+Q163+Q173+Q181+#REF!+Q184+Q191+Q199+Q202</f>
        <v>#REF!</v>
      </c>
      <c r="R221" s="36" t="e">
        <f>R9+R37+#REF!+R43+R51+R60+R67+R75+#REF!+#REF!+#REF!+R93+R97+R103+R107+R113+#REF!+#REF!+#REF!+#REF!+R140+R163+R173+R181+#REF!+R184+R191+R199+R202</f>
        <v>#REF!</v>
      </c>
      <c r="S221" s="36" t="e">
        <f>S9+S37+#REF!+S43+S51+S60+S67+S75+#REF!+#REF!+#REF!+S93+S97+S103+S107+S113+#REF!+#REF!+#REF!+#REF!+S140+S163+S173+S181+#REF!+S184+S191+S199+S202</f>
        <v>#REF!</v>
      </c>
      <c r="T221" s="36" t="e">
        <f>T9+T37+#REF!+T43+T51+T60+T67+T75+#REF!+#REF!+#REF!+T93+T97+T103+T107+T113+#REF!+#REF!+#REF!+#REF!+T140+T163+T173+T181+#REF!+T184+T191+T199+T202</f>
        <v>#REF!</v>
      </c>
      <c r="U221" s="36" t="e">
        <f>U9+U37+#REF!+U43+U51+U60+U67+U75+#REF!+#REF!+#REF!+U93+U97+U103+U107+U113+#REF!+#REF!+#REF!+#REF!+U140+U163+U173+U181+#REF!+U184+U191+U199+U202</f>
        <v>#REF!</v>
      </c>
      <c r="V221" s="36" t="e">
        <f>V9+V37+#REF!+V43+V51+V60+V67+V75+#REF!+#REF!+#REF!+V93+V97+V103+V107+V113+#REF!+#REF!+#REF!+#REF!+V140+V163+V173+V181+#REF!+V184+V191+V199+V202</f>
        <v>#REF!</v>
      </c>
      <c r="W221" s="36" t="e">
        <f>W9+W37+#REF!+W43+W51+W60+W67+W75+#REF!+#REF!+#REF!+W93+W97+W103+W107+W113+#REF!+#REF!+#REF!+#REF!+W140+W163+W173+W181+#REF!+W184+W191+W199+W202</f>
        <v>#REF!</v>
      </c>
      <c r="X221" s="36" t="e">
        <f>X9+X37+#REF!+X43+X51+X60+X67+X75+#REF!+#REF!+#REF!+X93+X97+X103+X107+X113+#REF!+#REF!+#REF!+#REF!+X140+X163+X173+X181+#REF!+X184+X191+X199+X202</f>
        <v>#REF!</v>
      </c>
      <c r="Y221" s="36">
        <f>Y9+Y37+Y43+Y51+Y60+Y67+Y75+Y93+Y97+Y103+Y107+Y113+Y140+Y163+Y173+Y181+Y184+Y191+Y199+Y202+Y127+Y157</f>
        <v>185433.82</v>
      </c>
      <c r="Z221" s="36">
        <f>Z9+Z37+Z43+Z51+Z60+Z67+Z75+Z93+Z97+Z103+Z107+Z113+Z140+Z163+Z173+Z181+Z184+Z191+Z199+Z202+Z154+Z220+Z157</f>
        <v>6000</v>
      </c>
      <c r="AA221" s="36">
        <f>AA9+AA37+AA43+AA51+AA60+AA67+AA75+AA93+AA97+AA103+AA107+AA113+AA140+AA163+AA173+AA181+AA184+AA191+AA199+AA202+AA130+AA57</f>
        <v>295342.48</v>
      </c>
      <c r="AB221" s="36">
        <f>AB9+AB37+AB43+AB51+AB60+AB67+AB75+AB93+AB97+AB103+AB107+AB113+AB140+AB163+AB173+AB181+AB184+AB191+AB199+AB202+AB130+AB57</f>
        <v>146257.11000000002</v>
      </c>
      <c r="AC221" s="36">
        <f>AC9+AC37+AC43+AC51+AC60+AC67+AC75+AC93+AC97+AC103+AC107+AC113+AC140+AC163+AC173+AC181+AC184+AC191+AC199+AC202+AC220+AC90+AC127+AC154</f>
        <v>34572.5</v>
      </c>
      <c r="AD221" s="36">
        <f>AD9+AD37+AD43+AD51+AD60+AD67+AD75+AD93+AD97+AD103+AD107+AD113+AD140+AD163+AD173+AD181+AD184+AD191+AD199+AD202</f>
        <v>30372</v>
      </c>
      <c r="AE221" s="36">
        <f>AE9+AE37+AE43+AE51+AE60+AE67+AE75+AE93+AE97+AE103+AE107+AE113+AE140+AE163+AE173+AE181+AE184+AE191+AE199+AE202+AE127</f>
        <v>0</v>
      </c>
      <c r="AF221" s="36">
        <f>AF9+AF37+AF43+AF51+AF60+AF67+AF75+AF93+AF97+AF103+AF107+AF113+AF140+AF163+AF173+AF181+AF184+AF191+AF199+AF202+AF220+AF81+AF84+AF154+AF397+AF157+AF127+AF57+AF130+AF133</f>
        <v>1941261.8800000001</v>
      </c>
      <c r="AG221" s="36">
        <f>AG9+AG37+AG43+AG51+AG60+AG67+AG75+AG93+AG97+AG103+AG107+AG113+AG140+AG163+AG173+AG181+AG184+AG191+AG199+AG202+AG220+AG81+AG84+AG154+AG90+AG157+AG127+AG57+AG130+AG133+AG211</f>
        <v>24189427.53</v>
      </c>
      <c r="AH221" s="36">
        <f>AH9+AH37+AH43+AH51+AH60+AH67+AH75+AH93+AH97+AH103+AH107+AH113+AH140+AH163+AH173+AH181+AH184+AH191+AH199+AH202+AH220+AH81+AH84+AH154+AH90+AH157+AH127+AH57+AH130+AH133+AH211</f>
        <v>26152127.82</v>
      </c>
      <c r="AI221" s="36">
        <f>AI9+AI37+AI43+AI51+AI60+AI67+AI75+AI93+AI97+AI103+AI107+AI113+AI140+AI163+AI173+AI181+AI184+AI191+AI199+AI202+AI220+AI81+AI84+AI154+AI90+AI157+AI127+AI57</f>
        <v>1919062.29</v>
      </c>
    </row>
    <row r="222" spans="1:32" ht="18">
      <c r="A222" s="9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66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1"/>
    </row>
    <row r="223" spans="1:32" ht="18">
      <c r="A223" s="9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1"/>
    </row>
    <row r="224" spans="1:32" ht="18">
      <c r="A224" s="83" t="s">
        <v>71</v>
      </c>
      <c r="B224" s="83"/>
      <c r="C224" s="84"/>
      <c r="D224" s="84"/>
      <c r="E224" s="10"/>
      <c r="F224" s="10"/>
      <c r="G224" s="10"/>
      <c r="H224" s="10"/>
      <c r="I224" s="10"/>
      <c r="J224" s="85" t="s">
        <v>72</v>
      </c>
      <c r="K224" s="85"/>
      <c r="L224" s="85"/>
      <c r="M224" s="85"/>
      <c r="N224" s="85"/>
      <c r="O224" s="85"/>
      <c r="P224" s="85"/>
      <c r="Q224" s="85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1"/>
    </row>
    <row r="225" spans="26:33" ht="18">
      <c r="Z225" s="63"/>
      <c r="AE225" s="10"/>
      <c r="AF225" s="64">
        <f>AG21+AG30+AG105+AG109+AG169+AG175+AG62+AG160+AG88</f>
        <v>1501918.61</v>
      </c>
      <c r="AG225" s="65">
        <v>225</v>
      </c>
    </row>
    <row r="226" spans="26:33" ht="18">
      <c r="Z226" s="63"/>
      <c r="AE226" s="10"/>
      <c r="AF226" s="64">
        <f>AG22+AG31+AG59+AG63+AG72+AG80+AG135+AG161+AG176+AG187+AG153+AG170+AG112+AG96+AG89+AG99+AG125+AG106</f>
        <v>861449.14</v>
      </c>
      <c r="AG226" s="11">
        <v>226</v>
      </c>
    </row>
    <row r="227" spans="26:33" ht="18">
      <c r="Z227" s="63"/>
      <c r="AE227" s="10"/>
      <c r="AF227" s="64">
        <f>AG36+AG183+AG198+AG32+AG35+AG178+AG48+AG50+AG55+AG56+AG80+AG83+AG188</f>
        <v>510247.09</v>
      </c>
      <c r="AG227" s="11">
        <v>290</v>
      </c>
    </row>
    <row r="228" spans="5:7" ht="18">
      <c r="E228" s="10"/>
      <c r="F228" s="10"/>
      <c r="G228" s="10"/>
    </row>
    <row r="229" spans="5:7" ht="18">
      <c r="E229" s="10"/>
      <c r="F229" s="10"/>
      <c r="G229" s="10"/>
    </row>
    <row r="230" spans="5:7" ht="18">
      <c r="E230" s="10"/>
      <c r="F230" s="10"/>
      <c r="G230" s="10"/>
    </row>
    <row r="239" spans="31:32" ht="18">
      <c r="AE239" s="10"/>
      <c r="AF239" s="64"/>
    </row>
    <row r="240" spans="31:32" ht="18">
      <c r="AE240" s="10"/>
      <c r="AF240" s="64"/>
    </row>
    <row r="241" spans="31:32" ht="18">
      <c r="AE241" s="10"/>
      <c r="AF241" s="64"/>
    </row>
  </sheetData>
  <sheetProtection selectLockedCells="1" selectUnlockedCells="1"/>
  <mergeCells count="49">
    <mergeCell ref="A1:AF1"/>
    <mergeCell ref="A3:AF3"/>
    <mergeCell ref="A4:AF4"/>
    <mergeCell ref="A6:AF6"/>
    <mergeCell ref="A10:AF10"/>
    <mergeCell ref="A38:AF38"/>
    <mergeCell ref="A44:AF44"/>
    <mergeCell ref="A58:AF58"/>
    <mergeCell ref="A61:AF61"/>
    <mergeCell ref="A68:AF68"/>
    <mergeCell ref="A71:AF71"/>
    <mergeCell ref="A76:AF76"/>
    <mergeCell ref="A52:AF52"/>
    <mergeCell ref="A79:AF79"/>
    <mergeCell ref="A82:AF82"/>
    <mergeCell ref="A85:AF85"/>
    <mergeCell ref="A91:AF91"/>
    <mergeCell ref="A94:AF94"/>
    <mergeCell ref="A98:AF98"/>
    <mergeCell ref="A104:AF104"/>
    <mergeCell ref="A108:AF108"/>
    <mergeCell ref="A114:AF114"/>
    <mergeCell ref="A117:AF117"/>
    <mergeCell ref="A121:AF121"/>
    <mergeCell ref="A134:AI134"/>
    <mergeCell ref="A124:AF124"/>
    <mergeCell ref="A128:AF128"/>
    <mergeCell ref="A131:AF131"/>
    <mergeCell ref="A141:AF141"/>
    <mergeCell ref="A145:AF145"/>
    <mergeCell ref="A149:AF149"/>
    <mergeCell ref="A152:AF152"/>
    <mergeCell ref="A158:AF158"/>
    <mergeCell ref="A164:AF164"/>
    <mergeCell ref="A155:AF155"/>
    <mergeCell ref="A168:AF168"/>
    <mergeCell ref="A174:AF174"/>
    <mergeCell ref="A182:AF182"/>
    <mergeCell ref="A185:AF185"/>
    <mergeCell ref="A192:AF192"/>
    <mergeCell ref="A196:AF196"/>
    <mergeCell ref="A200:AF200"/>
    <mergeCell ref="A203:AF203"/>
    <mergeCell ref="A206:AF206"/>
    <mergeCell ref="A212:AF212"/>
    <mergeCell ref="A224:B224"/>
    <mergeCell ref="C224:D224"/>
    <mergeCell ref="J224:Q224"/>
    <mergeCell ref="A209:AF209"/>
  </mergeCells>
  <printOptions/>
  <pageMargins left="0.5902777777777778" right="0.19652777777777777" top="0.39375" bottom="0.39375" header="0.5118055555555555" footer="0.5118055555555555"/>
  <pageSetup horizontalDpi="300" verticalDpi="3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Артур</cp:lastModifiedBy>
  <cp:lastPrinted>2015-01-05T06:57:24Z</cp:lastPrinted>
  <dcterms:created xsi:type="dcterms:W3CDTF">2013-09-02T07:11:46Z</dcterms:created>
  <dcterms:modified xsi:type="dcterms:W3CDTF">2015-01-05T15:51:56Z</dcterms:modified>
  <cp:category/>
  <cp:version/>
  <cp:contentType/>
  <cp:contentStatus/>
</cp:coreProperties>
</file>